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5.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6.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7.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zfs1.hrz.tu-freiberg.de\brummea\Habil\Hydrogen Paper\Submission Energy Policy\Revision 07-2026\Data in Brief\Final Excel files\"/>
    </mc:Choice>
  </mc:AlternateContent>
  <xr:revisionPtr revIDLastSave="0" documentId="13_ncr:1_{649A4982-F306-4AF0-A8B9-F574E87443A3}" xr6:coauthVersionLast="47" xr6:coauthVersionMax="47" xr10:uidLastSave="{00000000-0000-0000-0000-000000000000}"/>
  <bookViews>
    <workbookView xWindow="-108" yWindow="-108" windowWidth="23256" windowHeight="12456" firstSheet="2" activeTab="10" xr2:uid="{D8E34CED-E5E6-7149-9F9B-9BCF0D062E25}"/>
  </bookViews>
  <sheets>
    <sheet name="NEW" sheetId="1" r:id="rId1"/>
    <sheet name="CB_DATA_" sheetId="11" state="veryHidden" r:id="rId2"/>
    <sheet name="OLD" sheetId="4" r:id="rId3"/>
    <sheet name="MAIN MODEL" sheetId="5" r:id="rId4"/>
    <sheet name="Figures OUTPUT" sheetId="8" r:id="rId5"/>
    <sheet name="ENERGY" sheetId="7" r:id="rId6"/>
    <sheet name="assumptions" sheetId="10" r:id="rId7"/>
    <sheet name="OUTPUT" sheetId="6" r:id="rId8"/>
    <sheet name="LABOR" sheetId="2" r:id="rId9"/>
    <sheet name="TRANSITION" sheetId="3" r:id="rId10"/>
    <sheet name="Sheet1" sheetId="9" r:id="rId11"/>
  </sheets>
  <definedNames>
    <definedName name="CB_0bab4a2f4b1d4dbc811f5f343d2cbc2b" localSheetId="2" hidden="1">OLD!$C$5</definedName>
    <definedName name="CB_0bdbfac184a24fa08a1a27e3e65b05fc" localSheetId="0" hidden="1">NEW!$C$18</definedName>
    <definedName name="CB_0c43234c3dd24d45857ddff37c979379" localSheetId="7" hidden="1">OUTPUT!$AB$7</definedName>
    <definedName name="CB_2450a90292b649c2bb124bb5b2bd9026" localSheetId="1" hidden="1">#N/A</definedName>
    <definedName name="CB_2b242640e7f74d5d92a2c678241b6764" localSheetId="1" hidden="1">#N/A</definedName>
    <definedName name="CB_34dfe96459544aef89ccb2730aa40271" localSheetId="9" hidden="1">TRANSITION!$D$10</definedName>
    <definedName name="CB_3c97496e029d48faa46522f03708911e" localSheetId="4" hidden="1">'Figures OUTPUT'!$C$8</definedName>
    <definedName name="CB_3e1004a9a31446fca8499e9fa48725b9" localSheetId="1" hidden="1">#N/A</definedName>
    <definedName name="CB_5562fd9a1a7147bebcd6bec97e68c788" localSheetId="5" hidden="1">ENERGY!$C$27</definedName>
    <definedName name="CB_65080ba0367a4aac842d9c8e6d4d4eed" localSheetId="5" hidden="1">ENERGY!$D$19</definedName>
    <definedName name="CB_72a9a7808d5c4a9fa56038bcc4dc1ab9" localSheetId="0" hidden="1">NEW!$C$5</definedName>
    <definedName name="CB_8d1512b9cfef48078a49162c330db4bb" localSheetId="2" hidden="1">OLD!$H$17</definedName>
    <definedName name="CB_9bb99dba1caa405881616f7090a5517e" localSheetId="4" hidden="1">'Figures OUTPUT'!$E$4</definedName>
    <definedName name="CB_b89cd807f49b447ca6185eb6c7cb57d8" localSheetId="4" hidden="1">'Figures OUTPUT'!$H$8</definedName>
    <definedName name="CB_Block_00000000000000000000000000000000" localSheetId="1" hidden="1">"'7.0.0.0"</definedName>
    <definedName name="CB_Block_00000000000000000000000000000000" localSheetId="5" hidden="1">"'7.0.0.0"</definedName>
    <definedName name="CB_Block_00000000000000000000000000000000" localSheetId="4" hidden="1">"'7.0.0.0"</definedName>
    <definedName name="CB_Block_00000000000000000000000000000000" localSheetId="0" hidden="1">"'7.0.0.0"</definedName>
    <definedName name="CB_Block_00000000000000000000000000000000" localSheetId="2" hidden="1">"'7.0.0.0"</definedName>
    <definedName name="CB_Block_00000000000000000000000000000000" localSheetId="7" hidden="1">"'7.0.0.0"</definedName>
    <definedName name="CB_Block_00000000000000000000000000000000" localSheetId="9" hidden="1">"'7.0.0.0"</definedName>
    <definedName name="CB_Block_00000000000000000000000000000001" localSheetId="1" hidden="1">"'639191530786572042"</definedName>
    <definedName name="CB_Block_00000000000000000000000000000001" localSheetId="5" hidden="1">"'639191530786693537"</definedName>
    <definedName name="CB_Block_00000000000000000000000000000001" localSheetId="4" hidden="1">"'639191530786415919"</definedName>
    <definedName name="CB_Block_00000000000000000000000000000001" localSheetId="0" hidden="1">"'639191530786817344"</definedName>
    <definedName name="CB_Block_00000000000000000000000000000001" localSheetId="2" hidden="1">"'639191530787094508"</definedName>
    <definedName name="CB_Block_00000000000000000000000000000001" localSheetId="7" hidden="1">"'639191530786947215"</definedName>
    <definedName name="CB_Block_00000000000000000000000000000001" localSheetId="9" hidden="1">"'639191530786537731"</definedName>
    <definedName name="CB_Block_00000000000000000000000000000003" localSheetId="1" hidden="1">"'11.1.4716.0"</definedName>
    <definedName name="CB_Block_00000000000000000000000000000003" localSheetId="5" hidden="1">"'11.1.4716.0"</definedName>
    <definedName name="CB_Block_00000000000000000000000000000003" localSheetId="4" hidden="1">"'11.1.4716.0"</definedName>
    <definedName name="CB_Block_00000000000000000000000000000003" localSheetId="0" hidden="1">"'11.1.4716.0"</definedName>
    <definedName name="CB_Block_00000000000000000000000000000003" localSheetId="2" hidden="1">"'11.1.4716.0"</definedName>
    <definedName name="CB_Block_00000000000000000000000000000003" localSheetId="7" hidden="1">"'11.1.4716.0"</definedName>
    <definedName name="CB_Block_00000000000000000000000000000003" localSheetId="9" hidden="1">"'11.1.4716.0"</definedName>
    <definedName name="CB_BlockExt_00000000000000000000000000000003" localSheetId="1" hidden="1">"'11.1.2.4.850"</definedName>
    <definedName name="CB_BlockExt_00000000000000000000000000000003" localSheetId="5" hidden="1">"'11.1.2.4.850"</definedName>
    <definedName name="CB_BlockExt_00000000000000000000000000000003" localSheetId="4" hidden="1">"'11.1.2.4.850"</definedName>
    <definedName name="CB_BlockExt_00000000000000000000000000000003" localSheetId="0" hidden="1">"'11.1.2.4.850"</definedName>
    <definedName name="CB_BlockExt_00000000000000000000000000000003" localSheetId="2" hidden="1">"'11.1.2.4.850"</definedName>
    <definedName name="CB_BlockExt_00000000000000000000000000000003" localSheetId="7" hidden="1">"'11.1.2.4.850"</definedName>
    <definedName name="CB_BlockExt_00000000000000000000000000000003" localSheetId="9" hidden="1">"'11.1.2.4.850"</definedName>
    <definedName name="CB_d0e0c3d2b8404cef98866f29c47ea58f" localSheetId="0" hidden="1">NEW!$H$17</definedName>
    <definedName name="CB_d3914e0af9634e52b7ba2a02b877a997" localSheetId="5" hidden="1">ENERGY!$C$23</definedName>
    <definedName name="CB_e67428fcdb024c5d81533091b273bba8" localSheetId="4" hidden="1">'Figures OUTPUT'!$C$4</definedName>
    <definedName name="CB_ee03dd72dc4c4c758d47c9c057d9ef83" localSheetId="1" hidden="1">#N/A</definedName>
    <definedName name="CBCR_1bf7d311e6954497a89c75d89ee56de6" localSheetId="2" hidden="1">OLD!$E$17</definedName>
    <definedName name="CBCR_4bd8061f1a51408bbe4f222f363f7c9d" localSheetId="7" hidden="1">OUTPUT!$AB$3</definedName>
    <definedName name="CBCR_57c32df0cb9d448895c888e5fd9850d8" localSheetId="4" hidden="1">'Figures OUTPUT'!$E$3</definedName>
    <definedName name="CBCR_bd5d9c7b25424e64bd4511ae019b85da" localSheetId="0" hidden="1">NEW!$E$17</definedName>
    <definedName name="CBWorkbookPriority" localSheetId="1" hidden="1">-3689334996014020</definedName>
    <definedName name="CBx_1abae7e0ceaf437bac4fcd99d804f88b" localSheetId="1" hidden="1">"'TRANSITION'!$A$1"</definedName>
    <definedName name="CBx_67c231ff13ae4eb0837c8075456056b6" localSheetId="1" hidden="1">"'Figures OUTPUT'!$A$1"</definedName>
    <definedName name="CBx_8358049b606f41959c576790ddebc20f" localSheetId="1" hidden="1">"'NEW'!$A$1"</definedName>
    <definedName name="CBx_862909294a33424193b31a51a509f37c" localSheetId="1" hidden="1">"'OUTPUT'!$A$1"</definedName>
    <definedName name="CBx_8f477d395851456a84f2cbb3c60c4a85" localSheetId="1" hidden="1">"'OLD'!$A$1"</definedName>
    <definedName name="CBx_c01b8567c3c941208ff4ff108a57c692" localSheetId="1" hidden="1">"'CB_DATA_'!$A$1"</definedName>
    <definedName name="CBx_fcedb6dfe7c74aa3b691b6f0420b4ed1" localSheetId="1" hidden="1">"'ENERGY'!$A$1"</definedName>
    <definedName name="CBx_Sheet_Guid" localSheetId="1" hidden="1">"'c01b8567-c3c9-4120-8ff4-ff108a57c692"</definedName>
    <definedName name="CBx_Sheet_Guid" localSheetId="5" hidden="1">"'fcedb6df-e7c7-4aa3-b691-b6f0420b4ed1"</definedName>
    <definedName name="CBx_Sheet_Guid" localSheetId="4" hidden="1">"'67c231ff-13ae-4eb0-837c-8075456056b6"</definedName>
    <definedName name="CBx_Sheet_Guid" localSheetId="0" hidden="1">"'8358049b-606f-4195-9c57-6790ddebc20f"</definedName>
    <definedName name="CBx_Sheet_Guid" localSheetId="2" hidden="1">"'8f477d39-5851-456a-84f2-cbb3c60c4a85"</definedName>
    <definedName name="CBx_Sheet_Guid" localSheetId="7" hidden="1">"'86290929-4a33-4241-93b3-1a51a509f37c"</definedName>
    <definedName name="CBx_Sheet_Guid" localSheetId="9" hidden="1">"'1abae7e0-ceaf-437b-ac4f-cd99d804f88b"</definedName>
    <definedName name="CBx_SheetRef" localSheetId="1" hidden="1">CB_DATA_!$A$14</definedName>
    <definedName name="CBx_SheetRef" localSheetId="5" hidden="1">CB_DATA_!$D$14</definedName>
    <definedName name="CBx_SheetRef" localSheetId="4" hidden="1">CB_DATA_!$G$14</definedName>
    <definedName name="CBx_SheetRef" localSheetId="0" hidden="1">CB_DATA_!$C$14</definedName>
    <definedName name="CBx_SheetRef" localSheetId="2" hidden="1">CB_DATA_!$B$14</definedName>
    <definedName name="CBx_SheetRef" localSheetId="7" hidden="1">CB_DATA_!$F$14</definedName>
    <definedName name="CBx_SheetRef" localSheetId="9" hidden="1">CB_DATA_!$E$14</definedName>
    <definedName name="CBx_StorageType" localSheetId="1" hidden="1">2</definedName>
    <definedName name="CBx_StorageType" localSheetId="5" hidden="1">2</definedName>
    <definedName name="CBx_StorageType" localSheetId="4" hidden="1">2</definedName>
    <definedName name="CBx_StorageType" localSheetId="0" hidden="1">2</definedName>
    <definedName name="CBx_StorageType" localSheetId="2" hidden="1">2</definedName>
    <definedName name="CBx_StorageType" localSheetId="7" hidden="1">2</definedName>
    <definedName name="CBx_StorageType" localSheetId="9" hidde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0" i="3" l="1"/>
  <c r="C17" i="4"/>
  <c r="D16" i="2"/>
  <c r="E16" i="2"/>
  <c r="F16" i="2"/>
  <c r="G16" i="2"/>
  <c r="H16" i="2"/>
  <c r="I16" i="2"/>
  <c r="J16" i="2"/>
  <c r="K16" i="2"/>
  <c r="L16" i="2"/>
  <c r="M16" i="2"/>
  <c r="N16" i="2"/>
  <c r="O16" i="2"/>
  <c r="P16" i="2"/>
  <c r="Q16" i="2"/>
  <c r="R16" i="2"/>
  <c r="S16" i="2"/>
  <c r="T16" i="2"/>
  <c r="U16" i="2"/>
  <c r="V16" i="2"/>
  <c r="W16" i="2"/>
  <c r="X16" i="2"/>
  <c r="Y16" i="2"/>
  <c r="Z16" i="2"/>
  <c r="AA16" i="2"/>
  <c r="AB16" i="2"/>
  <c r="C16" i="2"/>
  <c r="AJ5" i="2"/>
  <c r="AK5" i="2"/>
  <c r="AL5" i="2"/>
  <c r="AM5" i="2"/>
  <c r="AN5" i="2"/>
  <c r="AO5" i="2"/>
  <c r="AP5" i="2"/>
  <c r="AQ5" i="2"/>
  <c r="AR5" i="2"/>
  <c r="AS5" i="2"/>
  <c r="AT5" i="2"/>
  <c r="AU5" i="2"/>
  <c r="AV5" i="2"/>
  <c r="AW5" i="2"/>
  <c r="AX5" i="2"/>
  <c r="AY5" i="2"/>
  <c r="AZ5" i="2"/>
  <c r="BA5" i="2"/>
  <c r="BB5" i="2"/>
  <c r="BC5" i="2"/>
  <c r="BD5" i="2"/>
  <c r="BE5" i="2"/>
  <c r="BF5" i="2"/>
  <c r="BG5" i="2"/>
  <c r="BH5" i="2"/>
  <c r="AI5" i="2"/>
  <c r="C18" i="2"/>
  <c r="E42" i="2"/>
  <c r="D39" i="2"/>
  <c r="E39" i="2" s="1"/>
  <c r="C40" i="2" s="1"/>
  <c r="A40" i="2"/>
  <c r="A38" i="2"/>
  <c r="A37" i="2"/>
  <c r="AI6" i="2"/>
  <c r="B4" i="3"/>
  <c r="C34" i="2"/>
  <c r="C31" i="2"/>
  <c r="B21" i="2"/>
  <c r="B23" i="2" s="1"/>
  <c r="B24" i="2" s="1"/>
  <c r="B26" i="2" s="1"/>
  <c r="P2" i="11"/>
  <c r="C17" i="1" l="1"/>
  <c r="G11" i="11"/>
  <c r="F11" i="11"/>
  <c r="E11" i="11"/>
  <c r="D11" i="11"/>
  <c r="C11" i="11"/>
  <c r="B11" i="11"/>
  <c r="A11" i="11"/>
  <c r="J3" i="7"/>
  <c r="J4" i="7" s="1"/>
  <c r="D75" i="7"/>
  <c r="C73" i="7"/>
  <c r="D76" i="7" s="1"/>
  <c r="D77" i="7" s="1"/>
  <c r="C4" i="9"/>
  <c r="D4" i="9" s="1"/>
  <c r="E4" i="9" s="1"/>
  <c r="F4" i="9" s="1"/>
  <c r="G4" i="9" s="1"/>
  <c r="H4" i="9" s="1"/>
  <c r="I4" i="9" s="1"/>
  <c r="J4" i="9" s="1"/>
  <c r="K4" i="9" s="1"/>
  <c r="L4" i="9" s="1"/>
  <c r="M4" i="9" s="1"/>
  <c r="N4" i="9" s="1"/>
  <c r="O4" i="9" s="1"/>
  <c r="P4" i="9" s="1"/>
  <c r="Q4" i="9" s="1"/>
  <c r="R4" i="9" s="1"/>
  <c r="S4" i="9" s="1"/>
  <c r="T4" i="9" s="1"/>
  <c r="U4" i="9" s="1"/>
  <c r="V4" i="9" s="1"/>
  <c r="W4" i="9" s="1"/>
  <c r="X4" i="9" s="1"/>
  <c r="Y4" i="9" s="1"/>
  <c r="Z4" i="9" s="1"/>
  <c r="AA4" i="9" s="1"/>
  <c r="C25" i="7"/>
  <c r="C47" i="7" s="1"/>
  <c r="C61" i="7" s="1"/>
  <c r="B24" i="3"/>
  <c r="O3" i="7"/>
  <c r="L3" i="7"/>
  <c r="L4" i="7" s="1"/>
  <c r="F3" i="7"/>
  <c r="C13" i="7" s="1"/>
  <c r="D32" i="7"/>
  <c r="E32" i="7" s="1"/>
  <c r="F32" i="7" s="1"/>
  <c r="G32" i="7" s="1"/>
  <c r="H32" i="7" s="1"/>
  <c r="I32" i="7" s="1"/>
  <c r="J32" i="7" s="1"/>
  <c r="K32" i="7" s="1"/>
  <c r="L32" i="7" s="1"/>
  <c r="M32" i="7" s="1"/>
  <c r="N32" i="7" s="1"/>
  <c r="O32" i="7" s="1"/>
  <c r="P32" i="7" s="1"/>
  <c r="Q32" i="7" s="1"/>
  <c r="R32" i="7" s="1"/>
  <c r="S32" i="7" s="1"/>
  <c r="T32" i="7" s="1"/>
  <c r="U32" i="7" s="1"/>
  <c r="V32" i="7" s="1"/>
  <c r="W32" i="7" s="1"/>
  <c r="X32" i="7" s="1"/>
  <c r="Y32" i="7" s="1"/>
  <c r="Z32" i="7" s="1"/>
  <c r="AA32" i="7" s="1"/>
  <c r="AB32" i="7" s="1"/>
  <c r="C4" i="7"/>
  <c r="D18" i="1" l="1"/>
  <c r="E18" i="1" s="1"/>
  <c r="C19" i="7"/>
  <c r="C20" i="7"/>
  <c r="D25" i="7"/>
  <c r="C28" i="7"/>
  <c r="L29" i="7" s="1"/>
  <c r="L37" i="7" s="1"/>
  <c r="C16" i="7"/>
  <c r="H4" i="7"/>
  <c r="C33" i="4"/>
  <c r="D36" i="4" s="1"/>
  <c r="D12" i="4"/>
  <c r="E12" i="4" s="1"/>
  <c r="F12" i="4" s="1"/>
  <c r="G12" i="4" s="1"/>
  <c r="H12" i="4" s="1"/>
  <c r="I12" i="4" s="1"/>
  <c r="J12" i="4" s="1"/>
  <c r="K12" i="4" s="1"/>
  <c r="L12" i="4" s="1"/>
  <c r="M12" i="4" s="1"/>
  <c r="N12" i="4" s="1"/>
  <c r="O12" i="4" s="1"/>
  <c r="P12" i="4" s="1"/>
  <c r="Q12" i="4" s="1"/>
  <c r="R12" i="4" s="1"/>
  <c r="S12" i="4" s="1"/>
  <c r="T12" i="4" s="1"/>
  <c r="U12" i="4" s="1"/>
  <c r="V12" i="4" s="1"/>
  <c r="W12" i="4" s="1"/>
  <c r="X12" i="4" s="1"/>
  <c r="Y12" i="4" s="1"/>
  <c r="Z12" i="4" s="1"/>
  <c r="AA12" i="4" s="1"/>
  <c r="AB12" i="4" s="1"/>
  <c r="C10" i="4"/>
  <c r="D12" i="1"/>
  <c r="E12" i="1" s="1"/>
  <c r="F12" i="1" s="1"/>
  <c r="G12" i="1" s="1"/>
  <c r="H12" i="1" s="1"/>
  <c r="I12" i="1" s="1"/>
  <c r="J12" i="1" s="1"/>
  <c r="K12" i="1" s="1"/>
  <c r="L12" i="1" s="1"/>
  <c r="M12" i="1" s="1"/>
  <c r="N12" i="1" s="1"/>
  <c r="O12" i="1" s="1"/>
  <c r="P12" i="1" s="1"/>
  <c r="Q12" i="1" s="1"/>
  <c r="R12" i="1" s="1"/>
  <c r="S12" i="1" s="1"/>
  <c r="T12" i="1" s="1"/>
  <c r="U12" i="1" s="1"/>
  <c r="V12" i="1" s="1"/>
  <c r="W12" i="1" s="1"/>
  <c r="X12" i="1" s="1"/>
  <c r="Y12" i="1" s="1"/>
  <c r="Z12" i="1" s="1"/>
  <c r="AA12" i="1" s="1"/>
  <c r="AB12" i="1" s="1"/>
  <c r="C33" i="1"/>
  <c r="D36" i="1" s="1"/>
  <c r="C10" i="1"/>
  <c r="C11" i="1" s="1"/>
  <c r="C21" i="1" s="1"/>
  <c r="C23" i="1" s="1"/>
  <c r="C25" i="1" s="1"/>
  <c r="C27" i="1" s="1"/>
  <c r="D17" i="5"/>
  <c r="E17" i="5" s="1"/>
  <c r="F17" i="5" s="1"/>
  <c r="G17" i="5" s="1"/>
  <c r="H17" i="5" s="1"/>
  <c r="I17" i="5" s="1"/>
  <c r="J17" i="5" s="1"/>
  <c r="K17" i="5" s="1"/>
  <c r="L17" i="5" s="1"/>
  <c r="M17" i="5" s="1"/>
  <c r="N17" i="5" s="1"/>
  <c r="O17" i="5" s="1"/>
  <c r="P17" i="5" s="1"/>
  <c r="Q17" i="5" s="1"/>
  <c r="R17" i="5" s="1"/>
  <c r="S17" i="5" s="1"/>
  <c r="T17" i="5" s="1"/>
  <c r="U17" i="5" s="1"/>
  <c r="V17" i="5" s="1"/>
  <c r="W17" i="5" s="1"/>
  <c r="X17" i="5" s="1"/>
  <c r="Y17" i="5" s="1"/>
  <c r="Z17" i="5" s="1"/>
  <c r="AA17" i="5" s="1"/>
  <c r="AB17" i="5" s="1"/>
  <c r="D16" i="5"/>
  <c r="E16" i="5" s="1"/>
  <c r="F16" i="5" s="1"/>
  <c r="G16" i="5" s="1"/>
  <c r="H16" i="5" s="1"/>
  <c r="I16" i="5" s="1"/>
  <c r="J16" i="5" s="1"/>
  <c r="K16" i="5" s="1"/>
  <c r="L16" i="5" s="1"/>
  <c r="M16" i="5" s="1"/>
  <c r="N16" i="5" s="1"/>
  <c r="O16" i="5" s="1"/>
  <c r="P16" i="5" s="1"/>
  <c r="Q16" i="5" s="1"/>
  <c r="R16" i="5" s="1"/>
  <c r="S16" i="5" s="1"/>
  <c r="T16" i="5" s="1"/>
  <c r="U16" i="5" s="1"/>
  <c r="V16" i="5" s="1"/>
  <c r="W16" i="5" s="1"/>
  <c r="X16" i="5" s="1"/>
  <c r="Y16" i="5" s="1"/>
  <c r="Z16" i="5" s="1"/>
  <c r="AA16" i="5" s="1"/>
  <c r="AB16" i="5" s="1"/>
  <c r="D5" i="6"/>
  <c r="E5" i="6" s="1"/>
  <c r="F5" i="6" s="1"/>
  <c r="G5" i="6" s="1"/>
  <c r="H5" i="6" s="1"/>
  <c r="I5" i="6" s="1"/>
  <c r="J5" i="6" s="1"/>
  <c r="K5" i="6" s="1"/>
  <c r="L5" i="6" s="1"/>
  <c r="M5" i="6" s="1"/>
  <c r="N5" i="6" s="1"/>
  <c r="O5" i="6" s="1"/>
  <c r="P5" i="6" s="1"/>
  <c r="Q5" i="6" s="1"/>
  <c r="R5" i="6" s="1"/>
  <c r="S5" i="6" s="1"/>
  <c r="T5" i="6" s="1"/>
  <c r="U5" i="6" s="1"/>
  <c r="V5" i="6" s="1"/>
  <c r="W5" i="6" s="1"/>
  <c r="X5" i="6" s="1"/>
  <c r="Y5" i="6" s="1"/>
  <c r="Z5" i="6" s="1"/>
  <c r="AA5" i="6" s="1"/>
  <c r="AB5" i="6" s="1"/>
  <c r="D9" i="5"/>
  <c r="E9" i="5" s="1"/>
  <c r="F9" i="5" s="1"/>
  <c r="G9" i="5" s="1"/>
  <c r="H9" i="5" s="1"/>
  <c r="I9" i="5" s="1"/>
  <c r="J9" i="5" s="1"/>
  <c r="K9" i="5" s="1"/>
  <c r="L9" i="5" s="1"/>
  <c r="M9" i="5" s="1"/>
  <c r="N9" i="5" s="1"/>
  <c r="O9" i="5" s="1"/>
  <c r="P9" i="5" s="1"/>
  <c r="Q9" i="5" s="1"/>
  <c r="R9" i="5" s="1"/>
  <c r="S9" i="5" s="1"/>
  <c r="T9" i="5" s="1"/>
  <c r="U9" i="5" s="1"/>
  <c r="V9" i="5" s="1"/>
  <c r="W9" i="5" s="1"/>
  <c r="X9" i="5" s="1"/>
  <c r="Y9" i="5" s="1"/>
  <c r="Z9" i="5" s="1"/>
  <c r="AA9" i="5" s="1"/>
  <c r="AB9" i="5" s="1"/>
  <c r="D20" i="4"/>
  <c r="E20" i="4" s="1"/>
  <c r="F20" i="4" s="1"/>
  <c r="G20" i="4" s="1"/>
  <c r="H20" i="4" s="1"/>
  <c r="I20" i="4" s="1"/>
  <c r="J20" i="4" s="1"/>
  <c r="K20" i="4" s="1"/>
  <c r="L20" i="4" s="1"/>
  <c r="M20" i="4" s="1"/>
  <c r="N20" i="4" s="1"/>
  <c r="O20" i="4" s="1"/>
  <c r="P20" i="4" s="1"/>
  <c r="Q20" i="4" s="1"/>
  <c r="R20" i="4" s="1"/>
  <c r="S20" i="4" s="1"/>
  <c r="T20" i="4" s="1"/>
  <c r="U20" i="4" s="1"/>
  <c r="V20" i="4" s="1"/>
  <c r="W20" i="4" s="1"/>
  <c r="X20" i="4" s="1"/>
  <c r="Y20" i="4" s="1"/>
  <c r="Z20" i="4" s="1"/>
  <c r="AA20" i="4" s="1"/>
  <c r="AB20" i="4" s="1"/>
  <c r="D19" i="4"/>
  <c r="E19" i="4" s="1"/>
  <c r="F19" i="4" s="1"/>
  <c r="G19" i="4" s="1"/>
  <c r="H19" i="4" s="1"/>
  <c r="I19" i="4" s="1"/>
  <c r="J19" i="4" s="1"/>
  <c r="K19" i="4" s="1"/>
  <c r="L19" i="4" s="1"/>
  <c r="M19" i="4" s="1"/>
  <c r="N19" i="4" s="1"/>
  <c r="O19" i="4" s="1"/>
  <c r="P19" i="4" s="1"/>
  <c r="Q19" i="4" s="1"/>
  <c r="R19" i="4" s="1"/>
  <c r="S19" i="4" s="1"/>
  <c r="T19" i="4" s="1"/>
  <c r="U19" i="4" s="1"/>
  <c r="V19" i="4" s="1"/>
  <c r="W19" i="4" s="1"/>
  <c r="X19" i="4" s="1"/>
  <c r="Y19" i="4" s="1"/>
  <c r="Z19" i="4" s="1"/>
  <c r="AA19" i="4" s="1"/>
  <c r="AB19" i="4" s="1"/>
  <c r="D18" i="4"/>
  <c r="D16" i="4"/>
  <c r="E16" i="4" s="1"/>
  <c r="F16" i="4" s="1"/>
  <c r="G16" i="4" s="1"/>
  <c r="H16" i="4" s="1"/>
  <c r="I16" i="4" s="1"/>
  <c r="J16" i="4" s="1"/>
  <c r="K16" i="4" s="1"/>
  <c r="L16" i="4" s="1"/>
  <c r="M16" i="4" s="1"/>
  <c r="N16" i="4" s="1"/>
  <c r="O16" i="4" s="1"/>
  <c r="P16" i="4" s="1"/>
  <c r="Q16" i="4" s="1"/>
  <c r="R16" i="4" s="1"/>
  <c r="S16" i="4" s="1"/>
  <c r="T16" i="4" s="1"/>
  <c r="U16" i="4" s="1"/>
  <c r="V16" i="4" s="1"/>
  <c r="W16" i="4" s="1"/>
  <c r="X16" i="4" s="1"/>
  <c r="Y16" i="4" s="1"/>
  <c r="Z16" i="4" s="1"/>
  <c r="AA16" i="4" s="1"/>
  <c r="AB16" i="4" s="1"/>
  <c r="B5" i="3"/>
  <c r="C3" i="3"/>
  <c r="D15" i="2"/>
  <c r="E15" i="2" s="1"/>
  <c r="F15" i="2" s="1"/>
  <c r="G15" i="2" s="1"/>
  <c r="H15" i="2" s="1"/>
  <c r="I15" i="2" s="1"/>
  <c r="J15" i="2" s="1"/>
  <c r="K15" i="2" s="1"/>
  <c r="L15" i="2" s="1"/>
  <c r="M15" i="2" s="1"/>
  <c r="N15" i="2" s="1"/>
  <c r="O15" i="2" s="1"/>
  <c r="P15" i="2" s="1"/>
  <c r="Q15" i="2" s="1"/>
  <c r="R15" i="2" s="1"/>
  <c r="S15" i="2" s="1"/>
  <c r="T15" i="2" s="1"/>
  <c r="U15" i="2" s="1"/>
  <c r="V15" i="2" s="1"/>
  <c r="W15" i="2" s="1"/>
  <c r="X15" i="2" s="1"/>
  <c r="Y15" i="2" s="1"/>
  <c r="Z15" i="2" s="1"/>
  <c r="AA15" i="2" s="1"/>
  <c r="AB15" i="2" s="1"/>
  <c r="E6" i="2"/>
  <c r="E11" i="2"/>
  <c r="F3" i="2"/>
  <c r="G3" i="2" s="1"/>
  <c r="H3" i="2" s="1"/>
  <c r="I3" i="2" s="1"/>
  <c r="J3" i="2" s="1"/>
  <c r="K3" i="2" s="1"/>
  <c r="L3" i="2" s="1"/>
  <c r="M3" i="2" s="1"/>
  <c r="N3" i="2" s="1"/>
  <c r="O3" i="2" s="1"/>
  <c r="P3" i="2" s="1"/>
  <c r="Q3" i="2" s="1"/>
  <c r="R3" i="2" s="1"/>
  <c r="S3" i="2" s="1"/>
  <c r="T3" i="2" s="1"/>
  <c r="U3" i="2" s="1"/>
  <c r="V3" i="2" s="1"/>
  <c r="W3" i="2" s="1"/>
  <c r="X3" i="2" s="1"/>
  <c r="Y3" i="2" s="1"/>
  <c r="Z3" i="2" s="1"/>
  <c r="AA3" i="2" s="1"/>
  <c r="AB3" i="2" s="1"/>
  <c r="AC3" i="2" s="1"/>
  <c r="AD3" i="2" s="1"/>
  <c r="AE3" i="2" s="1"/>
  <c r="AF3" i="2" s="1"/>
  <c r="AG3" i="2" s="1"/>
  <c r="AH3" i="2" s="1"/>
  <c r="AI3" i="2" s="1"/>
  <c r="AJ3" i="2" s="1"/>
  <c r="AK3" i="2" s="1"/>
  <c r="AL3" i="2" s="1"/>
  <c r="AM3" i="2" s="1"/>
  <c r="AN3" i="2" s="1"/>
  <c r="AO3" i="2" s="1"/>
  <c r="AP3" i="2" s="1"/>
  <c r="AQ3" i="2" s="1"/>
  <c r="AR3" i="2" s="1"/>
  <c r="AS3" i="2" s="1"/>
  <c r="AT3" i="2" s="1"/>
  <c r="AU3" i="2" s="1"/>
  <c r="AV3" i="2" s="1"/>
  <c r="AW3" i="2" s="1"/>
  <c r="AX3" i="2" s="1"/>
  <c r="AY3" i="2" s="1"/>
  <c r="AZ3" i="2" s="1"/>
  <c r="BA3" i="2" s="1"/>
  <c r="BB3" i="2" s="1"/>
  <c r="BC3" i="2" s="1"/>
  <c r="BD3" i="2" s="1"/>
  <c r="BE3" i="2" s="1"/>
  <c r="BF3" i="2" s="1"/>
  <c r="BG3" i="2" s="1"/>
  <c r="BH3" i="2" s="1"/>
  <c r="F6" i="2"/>
  <c r="G6" i="2"/>
  <c r="H6" i="2"/>
  <c r="I6" i="2"/>
  <c r="J6" i="2"/>
  <c r="K6" i="2"/>
  <c r="L6" i="2"/>
  <c r="M6" i="2"/>
  <c r="N6" i="2"/>
  <c r="O6" i="2"/>
  <c r="P6" i="2"/>
  <c r="Q6" i="2"/>
  <c r="R6" i="2"/>
  <c r="S6" i="2"/>
  <c r="T6" i="2"/>
  <c r="U6" i="2"/>
  <c r="V6" i="2"/>
  <c r="W6" i="2"/>
  <c r="X6" i="2"/>
  <c r="Y6" i="2"/>
  <c r="Z6" i="2"/>
  <c r="AA6" i="2"/>
  <c r="AB6" i="2"/>
  <c r="AC6" i="2"/>
  <c r="AD6" i="2"/>
  <c r="AE6" i="2"/>
  <c r="AF6" i="2"/>
  <c r="F11" i="2"/>
  <c r="G11" i="2"/>
  <c r="H11" i="2"/>
  <c r="I11" i="2"/>
  <c r="J11" i="2"/>
  <c r="K11" i="2"/>
  <c r="L11" i="2"/>
  <c r="M11" i="2"/>
  <c r="N11" i="2"/>
  <c r="O11" i="2"/>
  <c r="P11" i="2"/>
  <c r="Q11" i="2"/>
  <c r="R11" i="2"/>
  <c r="S11" i="2"/>
  <c r="T11" i="2"/>
  <c r="U11" i="2"/>
  <c r="V11" i="2"/>
  <c r="W11" i="2"/>
  <c r="X11" i="2"/>
  <c r="Y11" i="2"/>
  <c r="Z11" i="2"/>
  <c r="AA11" i="2"/>
  <c r="AB11" i="2"/>
  <c r="AC11" i="2"/>
  <c r="AD11" i="2"/>
  <c r="AE11" i="2"/>
  <c r="AF11" i="2"/>
  <c r="AG11" i="2"/>
  <c r="AG6" i="2"/>
  <c r="D20" i="1"/>
  <c r="D19" i="1"/>
  <c r="E19" i="1" s="1"/>
  <c r="F19" i="1" s="1"/>
  <c r="G19" i="1" s="1"/>
  <c r="H19" i="1" s="1"/>
  <c r="I19" i="1" s="1"/>
  <c r="J19" i="1" s="1"/>
  <c r="K19" i="1" s="1"/>
  <c r="L19" i="1" s="1"/>
  <c r="M19" i="1" s="1"/>
  <c r="N19" i="1" s="1"/>
  <c r="O19" i="1" s="1"/>
  <c r="P19" i="1" s="1"/>
  <c r="Q19" i="1" s="1"/>
  <c r="R19" i="1" s="1"/>
  <c r="S19" i="1" s="1"/>
  <c r="T19" i="1" s="1"/>
  <c r="U19" i="1" s="1"/>
  <c r="V19" i="1" s="1"/>
  <c r="W19" i="1" s="1"/>
  <c r="X19" i="1" s="1"/>
  <c r="Y19" i="1" s="1"/>
  <c r="Z19" i="1" s="1"/>
  <c r="AA19" i="1" s="1"/>
  <c r="AB19" i="1" s="1"/>
  <c r="D16" i="1"/>
  <c r="E16" i="1" s="1"/>
  <c r="F16" i="1" s="1"/>
  <c r="G16" i="1" s="1"/>
  <c r="H16" i="1" s="1"/>
  <c r="I16" i="1" s="1"/>
  <c r="J16" i="1" s="1"/>
  <c r="K16" i="1" s="1"/>
  <c r="L16" i="1" s="1"/>
  <c r="M16" i="1" s="1"/>
  <c r="N16" i="1" s="1"/>
  <c r="O16" i="1" s="1"/>
  <c r="P16" i="1" s="1"/>
  <c r="Q16" i="1" s="1"/>
  <c r="R16" i="1" s="1"/>
  <c r="S16" i="1" s="1"/>
  <c r="T16" i="1" s="1"/>
  <c r="U16" i="1" s="1"/>
  <c r="V16" i="1" s="1"/>
  <c r="W16" i="1" s="1"/>
  <c r="X16" i="1" s="1"/>
  <c r="Y16" i="1" s="1"/>
  <c r="Z16" i="1" s="1"/>
  <c r="AA16" i="1" s="1"/>
  <c r="AB16" i="1" s="1"/>
  <c r="C14" i="1" s="1"/>
  <c r="C49" i="1"/>
  <c r="C50" i="1" s="1"/>
  <c r="C48" i="1"/>
  <c r="C14" i="4" l="1"/>
  <c r="R10" i="4" s="1"/>
  <c r="D3" i="3"/>
  <c r="D24" i="3" s="1"/>
  <c r="C24" i="3"/>
  <c r="E29" i="7"/>
  <c r="C60" i="7"/>
  <c r="D60" i="7" s="1"/>
  <c r="E60" i="7" s="1"/>
  <c r="F60" i="7" s="1"/>
  <c r="E25" i="7"/>
  <c r="D47" i="7"/>
  <c r="D61" i="7" s="1"/>
  <c r="J29" i="7"/>
  <c r="J37" i="7" s="1"/>
  <c r="J38" i="7" s="1"/>
  <c r="J56" i="7" s="1"/>
  <c r="Z29" i="7"/>
  <c r="Z37" i="7" s="1"/>
  <c r="Z38" i="7" s="1"/>
  <c r="Z56" i="7" s="1"/>
  <c r="L44" i="7"/>
  <c r="K29" i="7"/>
  <c r="K37" i="7" s="1"/>
  <c r="Q29" i="7"/>
  <c r="Q37" i="7" s="1"/>
  <c r="R29" i="7"/>
  <c r="R37" i="7" s="1"/>
  <c r="T29" i="7"/>
  <c r="T37" i="7" s="1"/>
  <c r="U29" i="7"/>
  <c r="U37" i="7" s="1"/>
  <c r="F29" i="7"/>
  <c r="F37" i="7" s="1"/>
  <c r="X29" i="7"/>
  <c r="X37" i="7" s="1"/>
  <c r="Y29" i="7"/>
  <c r="Y37" i="7" s="1"/>
  <c r="C29" i="7"/>
  <c r="C37" i="7" s="1"/>
  <c r="S29" i="7"/>
  <c r="S37" i="7" s="1"/>
  <c r="D29" i="7"/>
  <c r="D37" i="7" s="1"/>
  <c r="E37" i="7"/>
  <c r="V29" i="7"/>
  <c r="V37" i="7" s="1"/>
  <c r="G29" i="7"/>
  <c r="G37" i="7" s="1"/>
  <c r="W29" i="7"/>
  <c r="W37" i="7" s="1"/>
  <c r="H29" i="7"/>
  <c r="H37" i="7" s="1"/>
  <c r="I29" i="7"/>
  <c r="I37" i="7" s="1"/>
  <c r="I38" i="7" s="1"/>
  <c r="I56" i="7" s="1"/>
  <c r="P29" i="7"/>
  <c r="P37" i="7" s="1"/>
  <c r="AA29" i="7"/>
  <c r="AA37" i="7" s="1"/>
  <c r="M29" i="7"/>
  <c r="M37" i="7" s="1"/>
  <c r="N29" i="7"/>
  <c r="N37" i="7" s="1"/>
  <c r="O29" i="7"/>
  <c r="O37" i="7" s="1"/>
  <c r="AB29" i="7"/>
  <c r="AB37" i="7" s="1"/>
  <c r="L38" i="7"/>
  <c r="L56" i="7" s="1"/>
  <c r="C11" i="4"/>
  <c r="C21" i="4" s="1"/>
  <c r="C23" i="4" s="1"/>
  <c r="C25" i="4" s="1"/>
  <c r="C27" i="4" s="1"/>
  <c r="E10" i="1"/>
  <c r="E11" i="1" s="1"/>
  <c r="E21" i="1" s="1"/>
  <c r="R10" i="1"/>
  <c r="P10" i="1"/>
  <c r="T10" i="1"/>
  <c r="S10" i="1"/>
  <c r="Q10" i="1"/>
  <c r="O10" i="1"/>
  <c r="Z10" i="1"/>
  <c r="W10" i="1"/>
  <c r="G10" i="1"/>
  <c r="M10" i="1"/>
  <c r="AA10" i="1"/>
  <c r="K10" i="1"/>
  <c r="J10" i="1"/>
  <c r="I10" i="1"/>
  <c r="X10" i="1"/>
  <c r="V10" i="1"/>
  <c r="F10" i="1"/>
  <c r="N10" i="1"/>
  <c r="D10" i="1"/>
  <c r="D11" i="1" s="1"/>
  <c r="D21" i="1" s="1"/>
  <c r="D23" i="1" s="1"/>
  <c r="D25" i="1" s="1"/>
  <c r="AB10" i="1"/>
  <c r="L10" i="1"/>
  <c r="Y10" i="1"/>
  <c r="H10" i="1"/>
  <c r="U10" i="1"/>
  <c r="B7" i="3"/>
  <c r="B17" i="3" s="1"/>
  <c r="E18" i="4"/>
  <c r="E3" i="3"/>
  <c r="E24" i="3" s="1"/>
  <c r="D4" i="3"/>
  <c r="D7" i="3" s="1"/>
  <c r="D17" i="3" s="1"/>
  <c r="C4" i="3"/>
  <c r="C7" i="3" s="1"/>
  <c r="C17" i="3" s="1"/>
  <c r="AG12" i="2"/>
  <c r="AW6" i="2" s="1"/>
  <c r="F18" i="1"/>
  <c r="E20" i="1"/>
  <c r="F20" i="1" s="1"/>
  <c r="G20" i="1" s="1"/>
  <c r="H20" i="1" s="1"/>
  <c r="I20" i="1" s="1"/>
  <c r="J20" i="1" s="1"/>
  <c r="K20" i="1" s="1"/>
  <c r="L20" i="1" s="1"/>
  <c r="M20" i="1" s="1"/>
  <c r="N20" i="1" s="1"/>
  <c r="O20" i="1" s="1"/>
  <c r="P20" i="1" s="1"/>
  <c r="Q20" i="1" s="1"/>
  <c r="R20" i="1" s="1"/>
  <c r="S20" i="1" s="1"/>
  <c r="T20" i="1" s="1"/>
  <c r="U20" i="1" s="1"/>
  <c r="V20" i="1" s="1"/>
  <c r="W20" i="1" s="1"/>
  <c r="X20" i="1" s="1"/>
  <c r="Y20" i="1" s="1"/>
  <c r="Z20" i="1" s="1"/>
  <c r="AA20" i="1" s="1"/>
  <c r="AB20" i="1" s="1"/>
  <c r="AB10" i="4" l="1"/>
  <c r="J10" i="4"/>
  <c r="M10" i="4"/>
  <c r="L10" i="4"/>
  <c r="Z10" i="4"/>
  <c r="T10" i="4"/>
  <c r="K10" i="4"/>
  <c r="U10" i="4"/>
  <c r="AA10" i="4"/>
  <c r="I10" i="4"/>
  <c r="W10" i="4"/>
  <c r="X10" i="4"/>
  <c r="V10" i="4"/>
  <c r="E10" i="4"/>
  <c r="E11" i="4" s="1"/>
  <c r="E21" i="4" s="1"/>
  <c r="Y10" i="4"/>
  <c r="H10" i="4"/>
  <c r="S10" i="4"/>
  <c r="N10" i="4"/>
  <c r="D10" i="4"/>
  <c r="D11" i="4" s="1"/>
  <c r="D21" i="4" s="1"/>
  <c r="D23" i="4" s="1"/>
  <c r="D25" i="4" s="1"/>
  <c r="D27" i="4" s="1"/>
  <c r="D29" i="4" s="1"/>
  <c r="D10" i="5" s="1"/>
  <c r="D24" i="5" s="1"/>
  <c r="D32" i="5" s="1"/>
  <c r="Q10" i="4"/>
  <c r="G10" i="4"/>
  <c r="P10" i="4"/>
  <c r="O10" i="4"/>
  <c r="F10" i="4"/>
  <c r="AZ6" i="2"/>
  <c r="C62" i="7"/>
  <c r="C64" i="7" s="1"/>
  <c r="D62" i="7"/>
  <c r="D64" i="7" s="1"/>
  <c r="C29" i="1"/>
  <c r="C11" i="5" s="1"/>
  <c r="C25" i="5" s="1"/>
  <c r="C38" i="7"/>
  <c r="C56" i="7" s="1"/>
  <c r="O38" i="7"/>
  <c r="O56" i="7" s="1"/>
  <c r="T38" i="7"/>
  <c r="T56" i="7" s="1"/>
  <c r="P38" i="7"/>
  <c r="P56" i="7" s="1"/>
  <c r="AA38" i="7"/>
  <c r="AA56" i="7" s="1"/>
  <c r="Q38" i="7"/>
  <c r="Q56" i="7" s="1"/>
  <c r="K38" i="7"/>
  <c r="K56" i="7" s="1"/>
  <c r="F25" i="7"/>
  <c r="E47" i="7"/>
  <c r="E61" i="7" s="1"/>
  <c r="E62" i="7" s="1"/>
  <c r="E64" i="7" s="1"/>
  <c r="D38" i="7"/>
  <c r="R38" i="7"/>
  <c r="R56" i="7" s="1"/>
  <c r="G60" i="7"/>
  <c r="N38" i="7"/>
  <c r="N56" i="7" s="1"/>
  <c r="D44" i="7"/>
  <c r="D45" i="7" s="1"/>
  <c r="S38" i="7"/>
  <c r="S44" i="7"/>
  <c r="Y38" i="7"/>
  <c r="Y44" i="7"/>
  <c r="AB44" i="7"/>
  <c r="O44" i="7"/>
  <c r="U38" i="7"/>
  <c r="U44" i="7"/>
  <c r="E38" i="7"/>
  <c r="E44" i="7"/>
  <c r="E45" i="7" s="1"/>
  <c r="C41" i="7"/>
  <c r="C44" i="7"/>
  <c r="C45" i="7" s="1"/>
  <c r="F38" i="7"/>
  <c r="F56" i="7" s="1"/>
  <c r="F44" i="7"/>
  <c r="N44" i="7"/>
  <c r="M38" i="7"/>
  <c r="M44" i="7"/>
  <c r="R44" i="7"/>
  <c r="Q44" i="7"/>
  <c r="I44" i="7"/>
  <c r="AB38" i="7"/>
  <c r="G38" i="7"/>
  <c r="G56" i="7" s="1"/>
  <c r="G44" i="7"/>
  <c r="Z44" i="7"/>
  <c r="X38" i="7"/>
  <c r="X56" i="7" s="1"/>
  <c r="X44" i="7"/>
  <c r="T44" i="7"/>
  <c r="AA44" i="7"/>
  <c r="P44" i="7"/>
  <c r="K44" i="7"/>
  <c r="H38" i="7"/>
  <c r="H44" i="7"/>
  <c r="W38" i="7"/>
  <c r="W56" i="7" s="1"/>
  <c r="W44" i="7"/>
  <c r="V38" i="7"/>
  <c r="V44" i="7"/>
  <c r="J44" i="7"/>
  <c r="L39" i="7"/>
  <c r="AK6" i="2"/>
  <c r="AJ6" i="2"/>
  <c r="AO6" i="2"/>
  <c r="AY6" i="2"/>
  <c r="AN6" i="2"/>
  <c r="BC6" i="2"/>
  <c r="AM6" i="2"/>
  <c r="BB6" i="2"/>
  <c r="AL6" i="2"/>
  <c r="C34" i="1"/>
  <c r="BA6" i="2"/>
  <c r="T39" i="7"/>
  <c r="T41" i="7" s="1"/>
  <c r="J39" i="7"/>
  <c r="J41" i="7" s="1"/>
  <c r="D27" i="1"/>
  <c r="D29" i="1" s="1"/>
  <c r="D11" i="5" s="1"/>
  <c r="D25" i="5" s="1"/>
  <c r="D34" i="1"/>
  <c r="D30" i="5" s="1"/>
  <c r="C16" i="3"/>
  <c r="D16" i="3"/>
  <c r="B16" i="3"/>
  <c r="C34" i="4" s="1"/>
  <c r="C29" i="5" s="1"/>
  <c r="F18" i="4"/>
  <c r="E4" i="3"/>
  <c r="E7" i="3" s="1"/>
  <c r="E17" i="3" s="1"/>
  <c r="F3" i="3"/>
  <c r="F24" i="3" s="1"/>
  <c r="AX6" i="2"/>
  <c r="AP6" i="2"/>
  <c r="AH6" i="2"/>
  <c r="AH5" i="2" s="1"/>
  <c r="BE6" i="2"/>
  <c r="AV6" i="2"/>
  <c r="AU6" i="2"/>
  <c r="AT6" i="2"/>
  <c r="AS6" i="2"/>
  <c r="BH6" i="2"/>
  <c r="AQ6" i="2"/>
  <c r="AR6" i="2"/>
  <c r="BG6" i="2"/>
  <c r="BD6" i="2"/>
  <c r="BF6" i="2"/>
  <c r="G18" i="1"/>
  <c r="E23" i="1"/>
  <c r="E25" i="1" s="1"/>
  <c r="C29" i="4" l="1"/>
  <c r="C10" i="5" s="1"/>
  <c r="C24" i="5" s="1"/>
  <c r="C32" i="5" s="1"/>
  <c r="C36" i="5" s="1"/>
  <c r="D34" i="4"/>
  <c r="D29" i="5" s="1"/>
  <c r="C30" i="5"/>
  <c r="C80" i="7"/>
  <c r="K39" i="7"/>
  <c r="K41" i="7" s="1"/>
  <c r="R39" i="7"/>
  <c r="R41" i="7" s="1"/>
  <c r="R49" i="7" s="1"/>
  <c r="P39" i="7"/>
  <c r="P41" i="7" s="1"/>
  <c r="Q39" i="7"/>
  <c r="Q41" i="7" s="1"/>
  <c r="Q42" i="7" s="1"/>
  <c r="G25" i="7"/>
  <c r="F47" i="7"/>
  <c r="F61" i="7" s="1"/>
  <c r="F62" i="7" s="1"/>
  <c r="F64" i="7" s="1"/>
  <c r="T67" i="7"/>
  <c r="T49" i="7"/>
  <c r="I39" i="7"/>
  <c r="I41" i="7" s="1"/>
  <c r="H56" i="7"/>
  <c r="U39" i="7"/>
  <c r="U41" i="7" s="1"/>
  <c r="U42" i="7" s="1"/>
  <c r="U56" i="7"/>
  <c r="AB39" i="7"/>
  <c r="AB41" i="7" s="1"/>
  <c r="AB56" i="7"/>
  <c r="W39" i="7"/>
  <c r="W41" i="7" s="1"/>
  <c r="V56" i="7"/>
  <c r="Z39" i="7"/>
  <c r="Z41" i="7" s="1"/>
  <c r="Y56" i="7"/>
  <c r="S39" i="7"/>
  <c r="S41" i="7" s="1"/>
  <c r="S56" i="7"/>
  <c r="N39" i="7"/>
  <c r="N41" i="7" s="1"/>
  <c r="M56" i="7"/>
  <c r="F45" i="7"/>
  <c r="H60" i="7"/>
  <c r="J67" i="7"/>
  <c r="J49" i="7"/>
  <c r="C42" i="7"/>
  <c r="C67" i="7"/>
  <c r="C68" i="7" s="1"/>
  <c r="AA39" i="7"/>
  <c r="AA41" i="7" s="1"/>
  <c r="M39" i="7"/>
  <c r="M41" i="7" s="1"/>
  <c r="O39" i="7"/>
  <c r="O41" i="7" s="1"/>
  <c r="E39" i="7"/>
  <c r="E41" i="7" s="1"/>
  <c r="E56" i="7"/>
  <c r="D39" i="7"/>
  <c r="D41" i="7" s="1"/>
  <c r="D80" i="7" s="1"/>
  <c r="D56" i="7"/>
  <c r="G39" i="7"/>
  <c r="G41" i="7" s="1"/>
  <c r="X39" i="7"/>
  <c r="X41" i="7" s="1"/>
  <c r="Y39" i="7"/>
  <c r="Y41" i="7" s="1"/>
  <c r="H39" i="7"/>
  <c r="H41" i="7" s="1"/>
  <c r="V39" i="7"/>
  <c r="V41" i="7" s="1"/>
  <c r="F39" i="7"/>
  <c r="F41" i="7" s="1"/>
  <c r="L41" i="7"/>
  <c r="J42" i="7"/>
  <c r="T42" i="7"/>
  <c r="E27" i="1"/>
  <c r="E29" i="1" s="1"/>
  <c r="E11" i="5" s="1"/>
  <c r="E25" i="5" s="1"/>
  <c r="E34" i="1"/>
  <c r="E30" i="5" s="1"/>
  <c r="D26" i="5"/>
  <c r="D35" i="1"/>
  <c r="E36" i="1" s="1"/>
  <c r="E16" i="3"/>
  <c r="D12" i="5"/>
  <c r="G18" i="4"/>
  <c r="F4" i="3"/>
  <c r="F7" i="3" s="1"/>
  <c r="F17" i="3" s="1"/>
  <c r="G3" i="3"/>
  <c r="G24" i="3" s="1"/>
  <c r="H18" i="1"/>
  <c r="C12" i="5" l="1"/>
  <c r="D65" i="7" s="1"/>
  <c r="D36" i="5"/>
  <c r="C26" i="5"/>
  <c r="C33" i="5" s="1"/>
  <c r="C33" i="7" s="1"/>
  <c r="O4" i="7" s="1"/>
  <c r="O5" i="7" s="1"/>
  <c r="O6" i="7" s="1"/>
  <c r="D35" i="4"/>
  <c r="E36" i="4" s="1"/>
  <c r="F11" i="4" s="1"/>
  <c r="F21" i="4" s="1"/>
  <c r="F23" i="4" s="1"/>
  <c r="F25" i="4" s="1"/>
  <c r="R42" i="7"/>
  <c r="R67" i="7"/>
  <c r="Q49" i="7"/>
  <c r="E35" i="1"/>
  <c r="F36" i="1" s="1"/>
  <c r="G11" i="1" s="1"/>
  <c r="G21" i="1" s="1"/>
  <c r="G23" i="1" s="1"/>
  <c r="G25" i="1" s="1"/>
  <c r="D6" i="6"/>
  <c r="D7" i="6" s="1"/>
  <c r="E65" i="7"/>
  <c r="D39" i="5"/>
  <c r="D33" i="5"/>
  <c r="D33" i="7" s="1"/>
  <c r="D34" i="7" s="1"/>
  <c r="D55" i="7" s="1"/>
  <c r="X42" i="7"/>
  <c r="Q67" i="7"/>
  <c r="O42" i="7"/>
  <c r="W42" i="7"/>
  <c r="W67" i="7"/>
  <c r="W49" i="7"/>
  <c r="I42" i="7"/>
  <c r="I67" i="7"/>
  <c r="I49" i="7"/>
  <c r="N42" i="7"/>
  <c r="N67" i="7"/>
  <c r="N49" i="7"/>
  <c r="S42" i="7"/>
  <c r="S49" i="7"/>
  <c r="S67" i="7"/>
  <c r="Z42" i="7"/>
  <c r="Z49" i="7"/>
  <c r="Z67" i="7"/>
  <c r="F42" i="7"/>
  <c r="F67" i="7"/>
  <c r="F68" i="7" s="1"/>
  <c r="F69" i="7" s="1"/>
  <c r="F49" i="7"/>
  <c r="H42" i="7"/>
  <c r="H67" i="7"/>
  <c r="H49" i="7"/>
  <c r="G42" i="7"/>
  <c r="G67" i="7"/>
  <c r="G49" i="7"/>
  <c r="E42" i="7"/>
  <c r="E67" i="7"/>
  <c r="E68" i="7" s="1"/>
  <c r="E69" i="7" s="1"/>
  <c r="E49" i="7"/>
  <c r="I60" i="7"/>
  <c r="Y67" i="7"/>
  <c r="Y49" i="7"/>
  <c r="AA42" i="7"/>
  <c r="AA67" i="7"/>
  <c r="AA49" i="7"/>
  <c r="V42" i="7"/>
  <c r="V49" i="7"/>
  <c r="V67" i="7"/>
  <c r="X67" i="7"/>
  <c r="X49" i="7"/>
  <c r="D42" i="7"/>
  <c r="D67" i="7"/>
  <c r="D68" i="7" s="1"/>
  <c r="D49" i="7"/>
  <c r="P42" i="7"/>
  <c r="P49" i="7"/>
  <c r="P67" i="7"/>
  <c r="AB67" i="7"/>
  <c r="AB49" i="7"/>
  <c r="K42" i="7"/>
  <c r="K67" i="7"/>
  <c r="K49" i="7"/>
  <c r="L42" i="7"/>
  <c r="L67" i="7"/>
  <c r="L49" i="7"/>
  <c r="M42" i="7"/>
  <c r="M67" i="7"/>
  <c r="M49" i="7"/>
  <c r="Y42" i="7"/>
  <c r="O49" i="7"/>
  <c r="O67" i="7"/>
  <c r="H25" i="7"/>
  <c r="G47" i="7"/>
  <c r="G61" i="7" s="1"/>
  <c r="G62" i="7" s="1"/>
  <c r="G64" i="7" s="1"/>
  <c r="AB42" i="7"/>
  <c r="U67" i="7"/>
  <c r="U49" i="7"/>
  <c r="G45" i="7"/>
  <c r="E23" i="4"/>
  <c r="E25" i="4" s="1"/>
  <c r="E80" i="7" s="1"/>
  <c r="F11" i="1"/>
  <c r="F21" i="1" s="1"/>
  <c r="F23" i="1" s="1"/>
  <c r="F25" i="1" s="1"/>
  <c r="F16" i="3"/>
  <c r="H18" i="4"/>
  <c r="G4" i="3"/>
  <c r="G7" i="3" s="1"/>
  <c r="G17" i="3" s="1"/>
  <c r="H3" i="3"/>
  <c r="H24" i="3" s="1"/>
  <c r="I18" i="1"/>
  <c r="C34" i="7" l="1"/>
  <c r="D35" i="7" s="1"/>
  <c r="F4" i="7"/>
  <c r="C65" i="7"/>
  <c r="C39" i="5"/>
  <c r="C6" i="6"/>
  <c r="C7" i="6" s="1"/>
  <c r="D10" i="6" s="1"/>
  <c r="F27" i="4"/>
  <c r="F29" i="4" s="1"/>
  <c r="F10" i="5" s="1"/>
  <c r="F24" i="5" s="1"/>
  <c r="F32" i="5" s="1"/>
  <c r="F36" i="5" s="1"/>
  <c r="G68" i="7"/>
  <c r="G69" i="7" s="1"/>
  <c r="I25" i="7"/>
  <c r="H47" i="7"/>
  <c r="H61" i="7" s="1"/>
  <c r="H62" i="7" s="1"/>
  <c r="H64" i="7" s="1"/>
  <c r="H45" i="7"/>
  <c r="J60" i="7"/>
  <c r="E34" i="4"/>
  <c r="E27" i="4"/>
  <c r="E29" i="4" s="1"/>
  <c r="E10" i="5" s="1"/>
  <c r="F27" i="1"/>
  <c r="F29" i="1" s="1"/>
  <c r="F11" i="5" s="1"/>
  <c r="F25" i="5" s="1"/>
  <c r="F34" i="1"/>
  <c r="F80" i="7" s="1"/>
  <c r="G27" i="1"/>
  <c r="G29" i="1" s="1"/>
  <c r="G11" i="5" s="1"/>
  <c r="G25" i="5" s="1"/>
  <c r="G34" i="1"/>
  <c r="F34" i="4"/>
  <c r="G16" i="3"/>
  <c r="I18" i="4"/>
  <c r="I3" i="3"/>
  <c r="I24" i="3" s="1"/>
  <c r="H4" i="3"/>
  <c r="H7" i="3" s="1"/>
  <c r="H17" i="3" s="1"/>
  <c r="J18" i="1"/>
  <c r="C55" i="7" l="1"/>
  <c r="F26" i="5"/>
  <c r="F33" i="5" s="1"/>
  <c r="F33" i="7" s="1"/>
  <c r="F34" i="7" s="1"/>
  <c r="F55" i="7" s="1"/>
  <c r="H68" i="7"/>
  <c r="H69" i="7" s="1"/>
  <c r="K60" i="7"/>
  <c r="J25" i="7"/>
  <c r="I47" i="7"/>
  <c r="I61" i="7" s="1"/>
  <c r="I62" i="7" s="1"/>
  <c r="I64" i="7" s="1"/>
  <c r="I45" i="7"/>
  <c r="F12" i="5"/>
  <c r="E12" i="5"/>
  <c r="E24" i="5"/>
  <c r="E35" i="4"/>
  <c r="F36" i="4" s="1"/>
  <c r="G11" i="4" s="1"/>
  <c r="G21" i="4" s="1"/>
  <c r="G23" i="4" s="1"/>
  <c r="G25" i="4" s="1"/>
  <c r="G80" i="7" s="1"/>
  <c r="E29" i="5"/>
  <c r="F35" i="4"/>
  <c r="G36" i="4" s="1"/>
  <c r="H11" i="4" s="1"/>
  <c r="H21" i="4" s="1"/>
  <c r="H23" i="4" s="1"/>
  <c r="H25" i="4" s="1"/>
  <c r="F29" i="5"/>
  <c r="F35" i="1"/>
  <c r="G36" i="1" s="1"/>
  <c r="H11" i="1" s="1"/>
  <c r="H21" i="1" s="1"/>
  <c r="H23" i="1" s="1"/>
  <c r="H25" i="1" s="1"/>
  <c r="F30" i="5"/>
  <c r="G35" i="1"/>
  <c r="H36" i="1" s="1"/>
  <c r="G30" i="5"/>
  <c r="H16" i="3"/>
  <c r="J18" i="4"/>
  <c r="J3" i="3"/>
  <c r="J24" i="3" s="1"/>
  <c r="I4" i="3"/>
  <c r="I7" i="3" s="1"/>
  <c r="I17" i="3" s="1"/>
  <c r="K18" i="1"/>
  <c r="H27" i="4" l="1"/>
  <c r="H29" i="4" s="1"/>
  <c r="H10" i="5" s="1"/>
  <c r="H24" i="5" s="1"/>
  <c r="H32" i="5" s="1"/>
  <c r="H36" i="5" s="1"/>
  <c r="E26" i="5"/>
  <c r="E32" i="5"/>
  <c r="E36" i="5" s="1"/>
  <c r="E6" i="6"/>
  <c r="E7" i="6" s="1"/>
  <c r="E10" i="6" s="1"/>
  <c r="E39" i="5"/>
  <c r="F65" i="7"/>
  <c r="F6" i="6"/>
  <c r="F7" i="6" s="1"/>
  <c r="F39" i="5"/>
  <c r="G65" i="7"/>
  <c r="I68" i="7"/>
  <c r="I69" i="7" s="1"/>
  <c r="K25" i="7"/>
  <c r="J47" i="7"/>
  <c r="J61" i="7" s="1"/>
  <c r="J62" i="7" s="1"/>
  <c r="J64" i="7" s="1"/>
  <c r="J45" i="7"/>
  <c r="L60" i="7"/>
  <c r="H34" i="4"/>
  <c r="H29" i="5" s="1"/>
  <c r="G34" i="4"/>
  <c r="G27" i="4"/>
  <c r="G29" i="4" s="1"/>
  <c r="G10" i="5" s="1"/>
  <c r="H27" i="1"/>
  <c r="H29" i="1" s="1"/>
  <c r="H11" i="5" s="1"/>
  <c r="H25" i="5" s="1"/>
  <c r="H34" i="1"/>
  <c r="H35" i="1" s="1"/>
  <c r="I36" i="1" s="1"/>
  <c r="I11" i="1"/>
  <c r="I21" i="1" s="1"/>
  <c r="I23" i="1" s="1"/>
  <c r="I25" i="1" s="1"/>
  <c r="I16" i="3"/>
  <c r="K18" i="4"/>
  <c r="J4" i="3"/>
  <c r="J7" i="3" s="1"/>
  <c r="J17" i="3" s="1"/>
  <c r="K3" i="3"/>
  <c r="K24" i="3" s="1"/>
  <c r="L18" i="1"/>
  <c r="H35" i="4" l="1"/>
  <c r="I36" i="4" s="1"/>
  <c r="J11" i="4" s="1"/>
  <c r="J21" i="4" s="1"/>
  <c r="J23" i="4" s="1"/>
  <c r="J25" i="4" s="1"/>
  <c r="J34" i="4" s="1"/>
  <c r="F10" i="6"/>
  <c r="H80" i="7"/>
  <c r="E33" i="5"/>
  <c r="E33" i="7" s="1"/>
  <c r="E34" i="7" s="1"/>
  <c r="H26" i="5"/>
  <c r="J68" i="7"/>
  <c r="J69" i="7" s="1"/>
  <c r="M60" i="7"/>
  <c r="L25" i="7"/>
  <c r="K47" i="7"/>
  <c r="K61" i="7" s="1"/>
  <c r="K62" i="7" s="1"/>
  <c r="K64" i="7" s="1"/>
  <c r="K45" i="7"/>
  <c r="H12" i="5"/>
  <c r="G35" i="4"/>
  <c r="H36" i="4" s="1"/>
  <c r="I11" i="4" s="1"/>
  <c r="I21" i="4" s="1"/>
  <c r="I23" i="4" s="1"/>
  <c r="I25" i="4" s="1"/>
  <c r="G29" i="5"/>
  <c r="G24" i="5"/>
  <c r="G12" i="5"/>
  <c r="H30" i="5"/>
  <c r="I27" i="1"/>
  <c r="I29" i="1" s="1"/>
  <c r="I11" i="5" s="1"/>
  <c r="I25" i="5" s="1"/>
  <c r="I34" i="1"/>
  <c r="I30" i="5" s="1"/>
  <c r="J11" i="1"/>
  <c r="J21" i="1" s="1"/>
  <c r="J23" i="1" s="1"/>
  <c r="J25" i="1" s="1"/>
  <c r="J16" i="3"/>
  <c r="L18" i="4"/>
  <c r="L3" i="3"/>
  <c r="L24" i="3" s="1"/>
  <c r="K4" i="3"/>
  <c r="K7" i="3" s="1"/>
  <c r="K17" i="3" s="1"/>
  <c r="M18" i="1"/>
  <c r="J27" i="4" l="1"/>
  <c r="J29" i="4" s="1"/>
  <c r="J10" i="5" s="1"/>
  <c r="J24" i="5" s="1"/>
  <c r="J32" i="5" s="1"/>
  <c r="J36" i="5" s="1"/>
  <c r="I80" i="7"/>
  <c r="I35" i="1"/>
  <c r="J36" i="1" s="1"/>
  <c r="K11" i="1" s="1"/>
  <c r="K21" i="1" s="1"/>
  <c r="K23" i="1" s="1"/>
  <c r="K25" i="1" s="1"/>
  <c r="G6" i="6"/>
  <c r="G7" i="6" s="1"/>
  <c r="G10" i="6" s="1"/>
  <c r="G39" i="5"/>
  <c r="H65" i="7"/>
  <c r="G26" i="5"/>
  <c r="G32" i="5"/>
  <c r="G36" i="5" s="1"/>
  <c r="H33" i="5"/>
  <c r="H33" i="7" s="1"/>
  <c r="H34" i="7" s="1"/>
  <c r="E35" i="7"/>
  <c r="E55" i="7"/>
  <c r="F35" i="7"/>
  <c r="H6" i="6"/>
  <c r="H7" i="6" s="1"/>
  <c r="H39" i="5"/>
  <c r="I65" i="7"/>
  <c r="K68" i="7"/>
  <c r="K69" i="7" s="1"/>
  <c r="M25" i="7"/>
  <c r="L47" i="7"/>
  <c r="L61" i="7" s="1"/>
  <c r="L62" i="7" s="1"/>
  <c r="L64" i="7" s="1"/>
  <c r="L45" i="7"/>
  <c r="N60" i="7"/>
  <c r="I27" i="4"/>
  <c r="I29" i="4" s="1"/>
  <c r="I10" i="5" s="1"/>
  <c r="I24" i="5" s="1"/>
  <c r="I34" i="4"/>
  <c r="J35" i="4" s="1"/>
  <c r="K36" i="4" s="1"/>
  <c r="L11" i="4" s="1"/>
  <c r="L21" i="4" s="1"/>
  <c r="L23" i="4" s="1"/>
  <c r="L25" i="4" s="1"/>
  <c r="J29" i="5"/>
  <c r="J27" i="1"/>
  <c r="J29" i="1" s="1"/>
  <c r="J11" i="5" s="1"/>
  <c r="J25" i="5" s="1"/>
  <c r="J34" i="1"/>
  <c r="J80" i="7" s="1"/>
  <c r="K16" i="3"/>
  <c r="M18" i="4"/>
  <c r="M3" i="3"/>
  <c r="M24" i="3" s="1"/>
  <c r="L4" i="3"/>
  <c r="L7" i="3" s="1"/>
  <c r="L17" i="3" s="1"/>
  <c r="N18" i="1"/>
  <c r="J26" i="5" l="1"/>
  <c r="J33" i="5" s="1"/>
  <c r="J33" i="7" s="1"/>
  <c r="J34" i="7" s="1"/>
  <c r="H10" i="6"/>
  <c r="J12" i="5"/>
  <c r="K65" i="7" s="1"/>
  <c r="I12" i="5"/>
  <c r="I6" i="6" s="1"/>
  <c r="I7" i="6" s="1"/>
  <c r="I10" i="6" s="1"/>
  <c r="J30" i="5"/>
  <c r="J35" i="1"/>
  <c r="K36" i="1" s="1"/>
  <c r="L11" i="1" s="1"/>
  <c r="L21" i="1" s="1"/>
  <c r="L23" i="1" s="1"/>
  <c r="L25" i="1" s="1"/>
  <c r="H55" i="7"/>
  <c r="I26" i="5"/>
  <c r="I32" i="5"/>
  <c r="I36" i="5" s="1"/>
  <c r="G33" i="5"/>
  <c r="G33" i="7" s="1"/>
  <c r="G34" i="7" s="1"/>
  <c r="L68" i="7"/>
  <c r="L69" i="7" s="1"/>
  <c r="O60" i="7"/>
  <c r="N25" i="7"/>
  <c r="M47" i="7"/>
  <c r="M61" i="7" s="1"/>
  <c r="M62" i="7" s="1"/>
  <c r="M64" i="7" s="1"/>
  <c r="M45" i="7"/>
  <c r="I29" i="5"/>
  <c r="I35" i="4"/>
  <c r="J36" i="4" s="1"/>
  <c r="K11" i="4" s="1"/>
  <c r="K21" i="4" s="1"/>
  <c r="K23" i="4" s="1"/>
  <c r="K25" i="4" s="1"/>
  <c r="K27" i="1"/>
  <c r="K29" i="1" s="1"/>
  <c r="K11" i="5" s="1"/>
  <c r="K25" i="5" s="1"/>
  <c r="K34" i="1"/>
  <c r="K35" i="1" s="1"/>
  <c r="L36" i="1" s="1"/>
  <c r="M11" i="1" s="1"/>
  <c r="M21" i="1" s="1"/>
  <c r="M23" i="1" s="1"/>
  <c r="M25" i="1" s="1"/>
  <c r="L16" i="3"/>
  <c r="L27" i="4"/>
  <c r="L29" i="4" s="1"/>
  <c r="L10" i="5" s="1"/>
  <c r="L34" i="4"/>
  <c r="N18" i="4"/>
  <c r="M4" i="3"/>
  <c r="M7" i="3" s="1"/>
  <c r="M17" i="3" s="1"/>
  <c r="N3" i="3"/>
  <c r="N24" i="3" s="1"/>
  <c r="O18" i="1"/>
  <c r="J39" i="5" l="1"/>
  <c r="J6" i="6"/>
  <c r="J7" i="6" s="1"/>
  <c r="J10" i="6" s="1"/>
  <c r="K80" i="7"/>
  <c r="J65" i="7"/>
  <c r="I39" i="5"/>
  <c r="G35" i="7"/>
  <c r="G55" i="7"/>
  <c r="H35" i="7"/>
  <c r="J55" i="7"/>
  <c r="I33" i="5"/>
  <c r="I33" i="7" s="1"/>
  <c r="I34" i="7" s="1"/>
  <c r="M68" i="7"/>
  <c r="M69" i="7" s="1"/>
  <c r="O25" i="7"/>
  <c r="N47" i="7"/>
  <c r="N61" i="7" s="1"/>
  <c r="N62" i="7" s="1"/>
  <c r="N64" i="7" s="1"/>
  <c r="N45" i="7"/>
  <c r="P60" i="7"/>
  <c r="K34" i="4"/>
  <c r="L35" i="4" s="1"/>
  <c r="M36" i="4" s="1"/>
  <c r="N11" i="4" s="1"/>
  <c r="N21" i="4" s="1"/>
  <c r="N23" i="4" s="1"/>
  <c r="N25" i="4" s="1"/>
  <c r="K27" i="4"/>
  <c r="K29" i="4" s="1"/>
  <c r="K10" i="5" s="1"/>
  <c r="K24" i="5" s="1"/>
  <c r="L29" i="5"/>
  <c r="K30" i="5"/>
  <c r="L27" i="1"/>
  <c r="L29" i="1" s="1"/>
  <c r="L11" i="5" s="1"/>
  <c r="L25" i="5" s="1"/>
  <c r="L34" i="1"/>
  <c r="L35" i="1" s="1"/>
  <c r="M36" i="1" s="1"/>
  <c r="N11" i="1" s="1"/>
  <c r="N21" i="1" s="1"/>
  <c r="N23" i="1" s="1"/>
  <c r="N25" i="1" s="1"/>
  <c r="M27" i="1"/>
  <c r="M29" i="1" s="1"/>
  <c r="M11" i="5" s="1"/>
  <c r="M25" i="5" s="1"/>
  <c r="M34" i="1"/>
  <c r="M16" i="3"/>
  <c r="L24" i="5"/>
  <c r="L32" i="5" s="1"/>
  <c r="O18" i="4"/>
  <c r="O3" i="3"/>
  <c r="O24" i="3" s="1"/>
  <c r="N4" i="3"/>
  <c r="N7" i="3" s="1"/>
  <c r="N17" i="3" s="1"/>
  <c r="P18" i="1"/>
  <c r="L30" i="5" l="1"/>
  <c r="L80" i="7"/>
  <c r="I35" i="7"/>
  <c r="I55" i="7"/>
  <c r="J35" i="7"/>
  <c r="K26" i="5"/>
  <c r="K32" i="5"/>
  <c r="L36" i="5"/>
  <c r="N68" i="7"/>
  <c r="N69" i="7" s="1"/>
  <c r="Q60" i="7"/>
  <c r="P25" i="7"/>
  <c r="O47" i="7"/>
  <c r="O61" i="7" s="1"/>
  <c r="O62" i="7" s="1"/>
  <c r="O64" i="7" s="1"/>
  <c r="O45" i="7"/>
  <c r="L26" i="5"/>
  <c r="L12" i="5"/>
  <c r="K35" i="4"/>
  <c r="L36" i="4" s="1"/>
  <c r="M11" i="4" s="1"/>
  <c r="M21" i="4" s="1"/>
  <c r="M23" i="4" s="1"/>
  <c r="M25" i="4" s="1"/>
  <c r="M80" i="7" s="1"/>
  <c r="K29" i="5"/>
  <c r="K12" i="5"/>
  <c r="N27" i="1"/>
  <c r="N29" i="1" s="1"/>
  <c r="N11" i="5" s="1"/>
  <c r="N25" i="5" s="1"/>
  <c r="N34" i="1"/>
  <c r="N80" i="7" s="1"/>
  <c r="M35" i="1"/>
  <c r="N36" i="1" s="1"/>
  <c r="M30" i="5"/>
  <c r="N16" i="3"/>
  <c r="N27" i="4"/>
  <c r="N29" i="4" s="1"/>
  <c r="N10" i="5" s="1"/>
  <c r="N24" i="5" s="1"/>
  <c r="N32" i="5" s="1"/>
  <c r="N34" i="4"/>
  <c r="P18" i="4"/>
  <c r="P3" i="3"/>
  <c r="P24" i="3" s="1"/>
  <c r="O4" i="3"/>
  <c r="O7" i="3" s="1"/>
  <c r="O17" i="3" s="1"/>
  <c r="Q18" i="1"/>
  <c r="L33" i="5" l="1"/>
  <c r="L33" i="7" s="1"/>
  <c r="L34" i="7" s="1"/>
  <c r="K33" i="5"/>
  <c r="K33" i="7" s="1"/>
  <c r="K34" i="7" s="1"/>
  <c r="K36" i="5"/>
  <c r="K6" i="6"/>
  <c r="K7" i="6" s="1"/>
  <c r="K10" i="6" s="1"/>
  <c r="K39" i="5"/>
  <c r="L65" i="7"/>
  <c r="N36" i="5"/>
  <c r="L6" i="6"/>
  <c r="L7" i="6" s="1"/>
  <c r="L39" i="5"/>
  <c r="M65" i="7"/>
  <c r="O68" i="7"/>
  <c r="O69" i="7" s="1"/>
  <c r="Q25" i="7"/>
  <c r="P47" i="7"/>
  <c r="P61" i="7" s="1"/>
  <c r="P62" i="7" s="1"/>
  <c r="P64" i="7" s="1"/>
  <c r="P45" i="7"/>
  <c r="R60" i="7"/>
  <c r="N26" i="5"/>
  <c r="M34" i="4"/>
  <c r="N35" i="4" s="1"/>
  <c r="O36" i="4" s="1"/>
  <c r="P11" i="4" s="1"/>
  <c r="P21" i="4" s="1"/>
  <c r="P23" i="4" s="1"/>
  <c r="P25" i="4" s="1"/>
  <c r="M27" i="4"/>
  <c r="M29" i="4" s="1"/>
  <c r="M10" i="5" s="1"/>
  <c r="N29" i="5"/>
  <c r="O11" i="1"/>
  <c r="O21" i="1" s="1"/>
  <c r="O23" i="1" s="1"/>
  <c r="O25" i="1" s="1"/>
  <c r="N35" i="1"/>
  <c r="O36" i="1" s="1"/>
  <c r="N30" i="5"/>
  <c r="N12" i="5"/>
  <c r="O16" i="3"/>
  <c r="Q18" i="4"/>
  <c r="P4" i="3"/>
  <c r="P7" i="3" s="1"/>
  <c r="P17" i="3" s="1"/>
  <c r="Q3" i="3"/>
  <c r="Q24" i="3" s="1"/>
  <c r="R18" i="1"/>
  <c r="L10" i="6" l="1"/>
  <c r="K55" i="7"/>
  <c r="K35" i="7"/>
  <c r="L55" i="7"/>
  <c r="L35" i="7"/>
  <c r="N6" i="6"/>
  <c r="N7" i="6" s="1"/>
  <c r="N39" i="5"/>
  <c r="O65" i="7"/>
  <c r="N33" i="5"/>
  <c r="N33" i="7" s="1"/>
  <c r="N34" i="7" s="1"/>
  <c r="N55" i="7" s="1"/>
  <c r="P68" i="7"/>
  <c r="P69" i="7" s="1"/>
  <c r="S60" i="7"/>
  <c r="R25" i="7"/>
  <c r="Q47" i="7"/>
  <c r="Q61" i="7" s="1"/>
  <c r="Q62" i="7" s="1"/>
  <c r="Q64" i="7" s="1"/>
  <c r="Q45" i="7"/>
  <c r="M12" i="5"/>
  <c r="M24" i="5"/>
  <c r="M35" i="4"/>
  <c r="N36" i="4" s="1"/>
  <c r="O11" i="4" s="1"/>
  <c r="O21" i="4" s="1"/>
  <c r="O23" i="4" s="1"/>
  <c r="O25" i="4" s="1"/>
  <c r="M29" i="5"/>
  <c r="O27" i="1"/>
  <c r="O29" i="1" s="1"/>
  <c r="O11" i="5" s="1"/>
  <c r="O25" i="5" s="1"/>
  <c r="O34" i="1"/>
  <c r="O30" i="5" s="1"/>
  <c r="P11" i="1"/>
  <c r="P21" i="1" s="1"/>
  <c r="P23" i="1" s="1"/>
  <c r="P25" i="1" s="1"/>
  <c r="P16" i="3"/>
  <c r="P27" i="4"/>
  <c r="P29" i="4" s="1"/>
  <c r="P10" i="5" s="1"/>
  <c r="P24" i="5" s="1"/>
  <c r="P32" i="5" s="1"/>
  <c r="P34" i="4"/>
  <c r="R18" i="4"/>
  <c r="Q4" i="3"/>
  <c r="Q7" i="3" s="1"/>
  <c r="Q17" i="3" s="1"/>
  <c r="R3" i="3"/>
  <c r="R24" i="3" s="1"/>
  <c r="S18" i="1"/>
  <c r="O80" i="7" l="1"/>
  <c r="M6" i="6"/>
  <c r="M7" i="6" s="1"/>
  <c r="M10" i="6" s="1"/>
  <c r="M39" i="5"/>
  <c r="N65" i="7"/>
  <c r="P36" i="5"/>
  <c r="M26" i="5"/>
  <c r="M32" i="5"/>
  <c r="Q68" i="7"/>
  <c r="Q69" i="7" s="1"/>
  <c r="S25" i="7"/>
  <c r="R47" i="7"/>
  <c r="R61" i="7" s="1"/>
  <c r="R62" i="7" s="1"/>
  <c r="R64" i="7" s="1"/>
  <c r="R45" i="7"/>
  <c r="T60" i="7"/>
  <c r="O34" i="4"/>
  <c r="P35" i="4" s="1"/>
  <c r="Q36" i="4" s="1"/>
  <c r="R11" i="4" s="1"/>
  <c r="R21" i="4" s="1"/>
  <c r="R23" i="4" s="1"/>
  <c r="R25" i="4" s="1"/>
  <c r="O27" i="4"/>
  <c r="O29" i="4" s="1"/>
  <c r="O10" i="5" s="1"/>
  <c r="O24" i="5" s="1"/>
  <c r="P29" i="5"/>
  <c r="O35" i="1"/>
  <c r="P36" i="1" s="1"/>
  <c r="Q11" i="1" s="1"/>
  <c r="Q21" i="1" s="1"/>
  <c r="Q23" i="1" s="1"/>
  <c r="Q25" i="1" s="1"/>
  <c r="P27" i="1"/>
  <c r="P29" i="1" s="1"/>
  <c r="P11" i="5" s="1"/>
  <c r="P25" i="5" s="1"/>
  <c r="P26" i="5" s="1"/>
  <c r="P34" i="1"/>
  <c r="P80" i="7" s="1"/>
  <c r="Q16" i="3"/>
  <c r="S18" i="4"/>
  <c r="R4" i="3"/>
  <c r="R7" i="3" s="1"/>
  <c r="R17" i="3" s="1"/>
  <c r="S3" i="3"/>
  <c r="S24" i="3" s="1"/>
  <c r="T18" i="1"/>
  <c r="P12" i="5" l="1"/>
  <c r="Q65" i="7" s="1"/>
  <c r="P30" i="5"/>
  <c r="P35" i="1"/>
  <c r="Q36" i="1" s="1"/>
  <c r="R11" i="1" s="1"/>
  <c r="R21" i="1" s="1"/>
  <c r="R23" i="1" s="1"/>
  <c r="R25" i="1" s="1"/>
  <c r="N10" i="6"/>
  <c r="O26" i="5"/>
  <c r="O32" i="5"/>
  <c r="M33" i="5"/>
  <c r="M33" i="7" s="1"/>
  <c r="M34" i="7" s="1"/>
  <c r="M36" i="5"/>
  <c r="P33" i="5"/>
  <c r="P33" i="7" s="1"/>
  <c r="P34" i="7" s="1"/>
  <c r="R68" i="7"/>
  <c r="R69" i="7" s="1"/>
  <c r="U60" i="7"/>
  <c r="T25" i="7"/>
  <c r="S47" i="7"/>
  <c r="S61" i="7" s="1"/>
  <c r="S62" i="7" s="1"/>
  <c r="S64" i="7" s="1"/>
  <c r="S45" i="7"/>
  <c r="O12" i="5"/>
  <c r="O35" i="4"/>
  <c r="P36" i="4" s="1"/>
  <c r="Q11" i="4" s="1"/>
  <c r="Q21" i="4" s="1"/>
  <c r="Q23" i="4" s="1"/>
  <c r="Q25" i="4" s="1"/>
  <c r="O29" i="5"/>
  <c r="Q27" i="1"/>
  <c r="Q29" i="1" s="1"/>
  <c r="Q11" i="5" s="1"/>
  <c r="Q25" i="5" s="1"/>
  <c r="Q34" i="1"/>
  <c r="Q35" i="1" s="1"/>
  <c r="R36" i="1" s="1"/>
  <c r="S11" i="1" s="1"/>
  <c r="S21" i="1" s="1"/>
  <c r="S23" i="1" s="1"/>
  <c r="S25" i="1" s="1"/>
  <c r="R16" i="3"/>
  <c r="R27" i="4"/>
  <c r="R29" i="4" s="1"/>
  <c r="R10" i="5" s="1"/>
  <c r="R34" i="4"/>
  <c r="T18" i="4"/>
  <c r="T3" i="3"/>
  <c r="T24" i="3" s="1"/>
  <c r="S4" i="3"/>
  <c r="S7" i="3" s="1"/>
  <c r="S17" i="3" s="1"/>
  <c r="U18" i="1"/>
  <c r="P6" i="6" l="1"/>
  <c r="P7" i="6" s="1"/>
  <c r="P39" i="5"/>
  <c r="Q80" i="7"/>
  <c r="P55" i="7"/>
  <c r="O6" i="6"/>
  <c r="O7" i="6" s="1"/>
  <c r="O10" i="6" s="1"/>
  <c r="O39" i="5"/>
  <c r="P65" i="7"/>
  <c r="O33" i="5"/>
  <c r="O33" i="7" s="1"/>
  <c r="O34" i="7" s="1"/>
  <c r="O36" i="5"/>
  <c r="M55" i="7"/>
  <c r="N35" i="7"/>
  <c r="M35" i="7"/>
  <c r="S68" i="7"/>
  <c r="S69" i="7" s="1"/>
  <c r="U25" i="7"/>
  <c r="T47" i="7"/>
  <c r="T61" i="7" s="1"/>
  <c r="T62" i="7" s="1"/>
  <c r="T64" i="7" s="1"/>
  <c r="T45" i="7"/>
  <c r="V60" i="7"/>
  <c r="Q30" i="5"/>
  <c r="Q34" i="4"/>
  <c r="R35" i="4" s="1"/>
  <c r="S36" i="4" s="1"/>
  <c r="T11" i="4" s="1"/>
  <c r="T21" i="4" s="1"/>
  <c r="T23" i="4" s="1"/>
  <c r="T25" i="4" s="1"/>
  <c r="Q27" i="4"/>
  <c r="Q29" i="4" s="1"/>
  <c r="Q10" i="5" s="1"/>
  <c r="R29" i="5"/>
  <c r="S27" i="1"/>
  <c r="S29" i="1" s="1"/>
  <c r="S11" i="5" s="1"/>
  <c r="S25" i="5" s="1"/>
  <c r="S34" i="1"/>
  <c r="R27" i="1"/>
  <c r="R29" i="1" s="1"/>
  <c r="R11" i="5" s="1"/>
  <c r="R25" i="5" s="1"/>
  <c r="R34" i="1"/>
  <c r="S16" i="3"/>
  <c r="R24" i="5"/>
  <c r="R32" i="5" s="1"/>
  <c r="U18" i="4"/>
  <c r="T4" i="3"/>
  <c r="T7" i="3" s="1"/>
  <c r="T17" i="3" s="1"/>
  <c r="U3" i="3"/>
  <c r="U24" i="3" s="1"/>
  <c r="V18" i="1"/>
  <c r="P10" i="6" l="1"/>
  <c r="R35" i="1"/>
  <c r="S36" i="1" s="1"/>
  <c r="T11" i="1" s="1"/>
  <c r="T21" i="1" s="1"/>
  <c r="T23" i="1" s="1"/>
  <c r="T25" i="1" s="1"/>
  <c r="T27" i="1" s="1"/>
  <c r="T29" i="1" s="1"/>
  <c r="T11" i="5" s="1"/>
  <c r="T25" i="5" s="1"/>
  <c r="R80" i="7"/>
  <c r="O55" i="7"/>
  <c r="O35" i="7"/>
  <c r="P35" i="7"/>
  <c r="R36" i="5"/>
  <c r="T68" i="7"/>
  <c r="T69" i="7" s="1"/>
  <c r="W60" i="7"/>
  <c r="V25" i="7"/>
  <c r="U47" i="7"/>
  <c r="U61" i="7" s="1"/>
  <c r="U62" i="7" s="1"/>
  <c r="U64" i="7" s="1"/>
  <c r="U45" i="7"/>
  <c r="Q12" i="5"/>
  <c r="Q24" i="5"/>
  <c r="Q35" i="4"/>
  <c r="R36" i="4" s="1"/>
  <c r="S11" i="4" s="1"/>
  <c r="S21" i="4" s="1"/>
  <c r="S23" i="4" s="1"/>
  <c r="S25" i="4" s="1"/>
  <c r="S80" i="7" s="1"/>
  <c r="Q29" i="5"/>
  <c r="R30" i="5"/>
  <c r="R26" i="5"/>
  <c r="R33" i="5" s="1"/>
  <c r="R33" i="7" s="1"/>
  <c r="R12" i="5"/>
  <c r="S35" i="1"/>
  <c r="T36" i="1" s="1"/>
  <c r="S30" i="5"/>
  <c r="T16" i="3"/>
  <c r="T27" i="4"/>
  <c r="T29" i="4" s="1"/>
  <c r="T10" i="5" s="1"/>
  <c r="T24" i="5" s="1"/>
  <c r="T32" i="5" s="1"/>
  <c r="T36" i="5" s="1"/>
  <c r="T34" i="4"/>
  <c r="V18" i="4"/>
  <c r="U4" i="3"/>
  <c r="U7" i="3" s="1"/>
  <c r="U17" i="3" s="1"/>
  <c r="V3" i="3"/>
  <c r="V24" i="3" s="1"/>
  <c r="W18" i="1"/>
  <c r="T34" i="1" l="1"/>
  <c r="T80" i="7" s="1"/>
  <c r="Q6" i="6"/>
  <c r="Q7" i="6" s="1"/>
  <c r="Q10" i="6" s="1"/>
  <c r="Q39" i="5"/>
  <c r="R65" i="7"/>
  <c r="Q26" i="5"/>
  <c r="Q32" i="5"/>
  <c r="R6" i="6"/>
  <c r="R7" i="6" s="1"/>
  <c r="R39" i="5"/>
  <c r="S65" i="7"/>
  <c r="R34" i="7"/>
  <c r="R55" i="7" s="1"/>
  <c r="U68" i="7"/>
  <c r="U69" i="7" s="1"/>
  <c r="W25" i="7"/>
  <c r="V47" i="7"/>
  <c r="V61" i="7" s="1"/>
  <c r="V62" i="7" s="1"/>
  <c r="V64" i="7" s="1"/>
  <c r="V45" i="7"/>
  <c r="X60" i="7"/>
  <c r="S27" i="4"/>
  <c r="S29" i="4" s="1"/>
  <c r="S10" i="5" s="1"/>
  <c r="S34" i="4"/>
  <c r="T35" i="4" s="1"/>
  <c r="U36" i="4" s="1"/>
  <c r="V11" i="4" s="1"/>
  <c r="V21" i="4" s="1"/>
  <c r="V23" i="4" s="1"/>
  <c r="V25" i="4" s="1"/>
  <c r="T29" i="5"/>
  <c r="T26" i="5"/>
  <c r="U11" i="1"/>
  <c r="U21" i="1" s="1"/>
  <c r="U23" i="1" s="1"/>
  <c r="U25" i="1" s="1"/>
  <c r="U16" i="3"/>
  <c r="T12" i="5"/>
  <c r="W18" i="4"/>
  <c r="V4" i="3"/>
  <c r="V7" i="3" s="1"/>
  <c r="V17" i="3" s="1"/>
  <c r="W3" i="3"/>
  <c r="W24" i="3" s="1"/>
  <c r="X18" i="1"/>
  <c r="T30" i="5" l="1"/>
  <c r="T35" i="1"/>
  <c r="U36" i="1" s="1"/>
  <c r="V11" i="1" s="1"/>
  <c r="V21" i="1" s="1"/>
  <c r="V23" i="1" s="1"/>
  <c r="V25" i="1" s="1"/>
  <c r="R10" i="6"/>
  <c r="T33" i="5"/>
  <c r="T33" i="7" s="1"/>
  <c r="T34" i="7" s="1"/>
  <c r="T55" i="7" s="1"/>
  <c r="Q33" i="5"/>
  <c r="Q33" i="7" s="1"/>
  <c r="Q34" i="7" s="1"/>
  <c r="Q36" i="5"/>
  <c r="T6" i="6"/>
  <c r="T7" i="6" s="1"/>
  <c r="T39" i="5"/>
  <c r="U65" i="7"/>
  <c r="V68" i="7"/>
  <c r="V69" i="7" s="1"/>
  <c r="X25" i="7"/>
  <c r="W47" i="7"/>
  <c r="W61" i="7" s="1"/>
  <c r="W62" i="7" s="1"/>
  <c r="W64" i="7" s="1"/>
  <c r="W45" i="7"/>
  <c r="Y60" i="7"/>
  <c r="S35" i="4"/>
  <c r="T36" i="4" s="1"/>
  <c r="U11" i="4" s="1"/>
  <c r="U21" i="4" s="1"/>
  <c r="U23" i="4" s="1"/>
  <c r="U25" i="4" s="1"/>
  <c r="S29" i="5"/>
  <c r="S24" i="5"/>
  <c r="S12" i="5"/>
  <c r="U27" i="1"/>
  <c r="U29" i="1" s="1"/>
  <c r="U11" i="5" s="1"/>
  <c r="U25" i="5" s="1"/>
  <c r="U34" i="1"/>
  <c r="U30" i="5" s="1"/>
  <c r="V16" i="3"/>
  <c r="V27" i="4"/>
  <c r="V29" i="4" s="1"/>
  <c r="V10" i="5" s="1"/>
  <c r="V24" i="5" s="1"/>
  <c r="V32" i="5" s="1"/>
  <c r="V36" i="5" s="1"/>
  <c r="V34" i="4"/>
  <c r="X18" i="4"/>
  <c r="X3" i="3"/>
  <c r="X24" i="3" s="1"/>
  <c r="W4" i="3"/>
  <c r="W7" i="3" s="1"/>
  <c r="W17" i="3" s="1"/>
  <c r="Y18" i="1"/>
  <c r="U80" i="7" l="1"/>
  <c r="R35" i="7"/>
  <c r="Q35" i="7"/>
  <c r="Q55" i="7"/>
  <c r="S26" i="5"/>
  <c r="S32" i="5"/>
  <c r="S6" i="6"/>
  <c r="S7" i="6" s="1"/>
  <c r="S10" i="6" s="1"/>
  <c r="S39" i="5"/>
  <c r="T65" i="7"/>
  <c r="W68" i="7"/>
  <c r="W69" i="7" s="1"/>
  <c r="Z60" i="7"/>
  <c r="Y25" i="7"/>
  <c r="X47" i="7"/>
  <c r="X61" i="7" s="1"/>
  <c r="X62" i="7" s="1"/>
  <c r="X64" i="7" s="1"/>
  <c r="X45" i="7"/>
  <c r="U35" i="1"/>
  <c r="V36" i="1" s="1"/>
  <c r="W11" i="1" s="1"/>
  <c r="W21" i="1" s="1"/>
  <c r="W23" i="1" s="1"/>
  <c r="W25" i="1" s="1"/>
  <c r="U27" i="4"/>
  <c r="U29" i="4" s="1"/>
  <c r="U10" i="5" s="1"/>
  <c r="U34" i="4"/>
  <c r="V35" i="4" s="1"/>
  <c r="W36" i="4" s="1"/>
  <c r="X11" i="4" s="1"/>
  <c r="X21" i="4" s="1"/>
  <c r="X23" i="4" s="1"/>
  <c r="X25" i="4" s="1"/>
  <c r="V29" i="5"/>
  <c r="V27" i="1"/>
  <c r="V29" i="1" s="1"/>
  <c r="V11" i="5" s="1"/>
  <c r="V25" i="5" s="1"/>
  <c r="V26" i="5" s="1"/>
  <c r="V34" i="1"/>
  <c r="W16" i="3"/>
  <c r="Y18" i="4"/>
  <c r="Y3" i="3"/>
  <c r="Y24" i="3" s="1"/>
  <c r="X4" i="3"/>
  <c r="X7" i="3" s="1"/>
  <c r="X17" i="3" s="1"/>
  <c r="Z18" i="1"/>
  <c r="V35" i="1" l="1"/>
  <c r="W36" i="1" s="1"/>
  <c r="X11" i="1" s="1"/>
  <c r="X21" i="1" s="1"/>
  <c r="X23" i="1" s="1"/>
  <c r="X25" i="1" s="1"/>
  <c r="X27" i="1" s="1"/>
  <c r="X29" i="1" s="1"/>
  <c r="X11" i="5" s="1"/>
  <c r="X25" i="5" s="1"/>
  <c r="V80" i="7"/>
  <c r="S33" i="5"/>
  <c r="S33" i="7" s="1"/>
  <c r="S34" i="7" s="1"/>
  <c r="S36" i="5"/>
  <c r="V33" i="5"/>
  <c r="V33" i="7" s="1"/>
  <c r="V34" i="7" s="1"/>
  <c r="V55" i="7" s="1"/>
  <c r="T10" i="6"/>
  <c r="X68" i="7"/>
  <c r="X69" i="7" s="1"/>
  <c r="Z25" i="7"/>
  <c r="Y47" i="7"/>
  <c r="Y61" i="7" s="1"/>
  <c r="Y62" i="7" s="1"/>
  <c r="Y64" i="7" s="1"/>
  <c r="Y45" i="7"/>
  <c r="AA60" i="7"/>
  <c r="V30" i="5"/>
  <c r="V12" i="5"/>
  <c r="U29" i="5"/>
  <c r="U35" i="4"/>
  <c r="V36" i="4" s="1"/>
  <c r="W11" i="4" s="1"/>
  <c r="W21" i="4" s="1"/>
  <c r="W23" i="4" s="1"/>
  <c r="W25" i="4" s="1"/>
  <c r="U24" i="5"/>
  <c r="U12" i="5"/>
  <c r="W27" i="1"/>
  <c r="W29" i="1" s="1"/>
  <c r="W11" i="5" s="1"/>
  <c r="W25" i="5" s="1"/>
  <c r="W34" i="1"/>
  <c r="X16" i="3"/>
  <c r="X27" i="4"/>
  <c r="X29" i="4" s="1"/>
  <c r="X10" i="5" s="1"/>
  <c r="X24" i="5" s="1"/>
  <c r="X34" i="4"/>
  <c r="Z18" i="4"/>
  <c r="Z3" i="3"/>
  <c r="Z24" i="3" s="1"/>
  <c r="Y4" i="3"/>
  <c r="Y7" i="3" s="1"/>
  <c r="Y17" i="3" s="1"/>
  <c r="AA18" i="1"/>
  <c r="X34" i="1" l="1"/>
  <c r="X80" i="7" s="1"/>
  <c r="W80" i="7"/>
  <c r="V6" i="6"/>
  <c r="V7" i="6" s="1"/>
  <c r="V39" i="5"/>
  <c r="W65" i="7"/>
  <c r="X26" i="5"/>
  <c r="X32" i="5"/>
  <c r="X36" i="5" s="1"/>
  <c r="T35" i="7"/>
  <c r="S35" i="7"/>
  <c r="S55" i="7"/>
  <c r="U6" i="6"/>
  <c r="U7" i="6" s="1"/>
  <c r="U10" i="6" s="1"/>
  <c r="U39" i="5"/>
  <c r="V65" i="7"/>
  <c r="U26" i="5"/>
  <c r="U32" i="5"/>
  <c r="U36" i="5" s="1"/>
  <c r="Y68" i="7"/>
  <c r="Y69" i="7" s="1"/>
  <c r="AB60" i="7"/>
  <c r="AA25" i="7"/>
  <c r="Z47" i="7"/>
  <c r="Z61" i="7" s="1"/>
  <c r="Z62" i="7" s="1"/>
  <c r="Z64" i="7" s="1"/>
  <c r="Z45" i="7"/>
  <c r="W27" i="4"/>
  <c r="W29" i="4" s="1"/>
  <c r="W10" i="5" s="1"/>
  <c r="W24" i="5" s="1"/>
  <c r="W34" i="4"/>
  <c r="X35" i="4" s="1"/>
  <c r="Y36" i="4" s="1"/>
  <c r="Z11" i="4" s="1"/>
  <c r="Z21" i="4" s="1"/>
  <c r="Z23" i="4" s="1"/>
  <c r="Z25" i="4" s="1"/>
  <c r="X29" i="5"/>
  <c r="W35" i="1"/>
  <c r="X36" i="1" s="1"/>
  <c r="Y11" i="1" s="1"/>
  <c r="Y21" i="1" s="1"/>
  <c r="Y23" i="1" s="1"/>
  <c r="Y25" i="1" s="1"/>
  <c r="W30" i="5"/>
  <c r="X12" i="5"/>
  <c r="Y65" i="7" s="1"/>
  <c r="Y16" i="3"/>
  <c r="AA18" i="4"/>
  <c r="AA3" i="3"/>
  <c r="Z4" i="3"/>
  <c r="Z7" i="3" s="1"/>
  <c r="Z17" i="3" s="1"/>
  <c r="AB18" i="1"/>
  <c r="AA4" i="3" l="1"/>
  <c r="AA7" i="3" s="1"/>
  <c r="AA17" i="3" s="1"/>
  <c r="AA16" i="3" s="1"/>
  <c r="AA24" i="3"/>
  <c r="X30" i="5"/>
  <c r="X35" i="1"/>
  <c r="Y36" i="1" s="1"/>
  <c r="Z11" i="1" s="1"/>
  <c r="Z21" i="1" s="1"/>
  <c r="Z23" i="1" s="1"/>
  <c r="Z25" i="1" s="1"/>
  <c r="V10" i="6"/>
  <c r="W12" i="5"/>
  <c r="U33" i="5"/>
  <c r="U33" i="7" s="1"/>
  <c r="U34" i="7" s="1"/>
  <c r="X33" i="5"/>
  <c r="X33" i="7" s="1"/>
  <c r="X34" i="7" s="1"/>
  <c r="W26" i="5"/>
  <c r="W32" i="5"/>
  <c r="W36" i="5" s="1"/>
  <c r="X6" i="6"/>
  <c r="X7" i="6" s="1"/>
  <c r="X39" i="5"/>
  <c r="Z68" i="7"/>
  <c r="Z69" i="7" s="1"/>
  <c r="AB25" i="7"/>
  <c r="AA47" i="7"/>
  <c r="AA61" i="7" s="1"/>
  <c r="AA62" i="7" s="1"/>
  <c r="AA64" i="7" s="1"/>
  <c r="AA45" i="7"/>
  <c r="W29" i="5"/>
  <c r="W35" i="4"/>
  <c r="X36" i="4" s="1"/>
  <c r="Y11" i="4" s="1"/>
  <c r="Y21" i="4" s="1"/>
  <c r="Y23" i="4" s="1"/>
  <c r="Y25" i="4" s="1"/>
  <c r="Y27" i="1"/>
  <c r="Y29" i="1" s="1"/>
  <c r="Y11" i="5" s="1"/>
  <c r="Y25" i="5" s="1"/>
  <c r="Y34" i="1"/>
  <c r="Y35" i="1" s="1"/>
  <c r="Z36" i="1" s="1"/>
  <c r="Z16" i="3"/>
  <c r="Z27" i="4"/>
  <c r="Z29" i="4" s="1"/>
  <c r="Z10" i="5" s="1"/>
  <c r="Z34" i="4"/>
  <c r="AB18" i="4"/>
  <c r="Y80" i="7" l="1"/>
  <c r="Y30" i="5"/>
  <c r="X55" i="7"/>
  <c r="U55" i="7"/>
  <c r="U35" i="7"/>
  <c r="V35" i="7"/>
  <c r="W33" i="5"/>
  <c r="W33" i="7" s="1"/>
  <c r="W34" i="7" s="1"/>
  <c r="W6" i="6"/>
  <c r="W7" i="6" s="1"/>
  <c r="W10" i="6" s="1"/>
  <c r="W39" i="5"/>
  <c r="X65" i="7"/>
  <c r="AA68" i="7"/>
  <c r="AA69" i="7" s="1"/>
  <c r="AB47" i="7"/>
  <c r="AB61" i="7" s="1"/>
  <c r="AB62" i="7" s="1"/>
  <c r="AB64" i="7" s="1"/>
  <c r="AB45" i="7"/>
  <c r="Y34" i="4"/>
  <c r="Z35" i="4" s="1"/>
  <c r="AA36" i="4" s="1"/>
  <c r="AB11" i="4" s="1"/>
  <c r="AB21" i="4" s="1"/>
  <c r="AB23" i="4" s="1"/>
  <c r="AB25" i="4" s="1"/>
  <c r="Y27" i="4"/>
  <c r="Y29" i="4" s="1"/>
  <c r="Y10" i="5" s="1"/>
  <c r="Z29" i="5"/>
  <c r="Z27" i="1"/>
  <c r="Z29" i="1" s="1"/>
  <c r="Z11" i="5" s="1"/>
  <c r="Z25" i="5" s="1"/>
  <c r="Z34" i="1"/>
  <c r="AA11" i="1"/>
  <c r="AA21" i="1" s="1"/>
  <c r="AA23" i="1" s="1"/>
  <c r="AA25" i="1" s="1"/>
  <c r="Z24" i="5"/>
  <c r="Z32" i="5" s="1"/>
  <c r="Z36" i="5" s="1"/>
  <c r="Z35" i="1" l="1"/>
  <c r="AA36" i="1" s="1"/>
  <c r="AB11" i="1" s="1"/>
  <c r="AB21" i="1" s="1"/>
  <c r="AB23" i="1" s="1"/>
  <c r="AB25" i="1" s="1"/>
  <c r="AB27" i="1" s="1"/>
  <c r="AB29" i="1" s="1"/>
  <c r="AB11" i="5" s="1"/>
  <c r="Z80" i="7"/>
  <c r="W35" i="7"/>
  <c r="W55" i="7"/>
  <c r="X35" i="7"/>
  <c r="X10" i="6"/>
  <c r="AB68" i="7"/>
  <c r="AB69" i="7" s="1"/>
  <c r="Z12" i="5"/>
  <c r="Z26" i="5"/>
  <c r="Y29" i="5"/>
  <c r="Y35" i="4"/>
  <c r="Z36" i="4" s="1"/>
  <c r="AA11" i="4" s="1"/>
  <c r="AA21" i="4" s="1"/>
  <c r="AA23" i="4" s="1"/>
  <c r="AA25" i="4" s="1"/>
  <c r="Y24" i="5"/>
  <c r="Y12" i="5"/>
  <c r="AA27" i="1"/>
  <c r="AA29" i="1" s="1"/>
  <c r="AA11" i="5" s="1"/>
  <c r="AA25" i="5" s="1"/>
  <c r="AA34" i="1"/>
  <c r="AA35" i="1" s="1"/>
  <c r="AB36" i="1" s="1"/>
  <c r="Z30" i="5"/>
  <c r="AB27" i="4"/>
  <c r="AB29" i="4" s="1"/>
  <c r="AB10" i="5" s="1"/>
  <c r="AB24" i="5" s="1"/>
  <c r="AB32" i="5" s="1"/>
  <c r="AB34" i="4"/>
  <c r="AB25" i="5" l="1"/>
  <c r="AB26" i="5" s="1"/>
  <c r="AB34" i="1"/>
  <c r="AB80" i="7" s="1"/>
  <c r="AA80" i="7"/>
  <c r="Y6" i="6"/>
  <c r="Y7" i="6" s="1"/>
  <c r="Y10" i="6" s="1"/>
  <c r="Y39" i="5"/>
  <c r="Z65" i="7"/>
  <c r="Y26" i="5"/>
  <c r="Y32" i="5"/>
  <c r="Y36" i="5" s="1"/>
  <c r="Z33" i="5"/>
  <c r="Z33" i="7" s="1"/>
  <c r="Z34" i="7" s="1"/>
  <c r="Z6" i="6"/>
  <c r="Z7" i="6" s="1"/>
  <c r="Z39" i="5"/>
  <c r="AA65" i="7"/>
  <c r="AB36" i="5"/>
  <c r="C4" i="8" s="1"/>
  <c r="E4" i="8" s="1"/>
  <c r="AA30" i="5"/>
  <c r="AA34" i="4"/>
  <c r="AB35" i="4" s="1"/>
  <c r="AA27" i="4"/>
  <c r="AA29" i="4" s="1"/>
  <c r="AA10" i="5" s="1"/>
  <c r="AA24" i="5" s="1"/>
  <c r="AA32" i="5" s="1"/>
  <c r="AB29" i="5"/>
  <c r="AB12" i="5"/>
  <c r="AD11" i="5" s="1"/>
  <c r="H8" i="8" s="1"/>
  <c r="Z10" i="6" l="1"/>
  <c r="AB35" i="1"/>
  <c r="AB30" i="5"/>
  <c r="AA26" i="5"/>
  <c r="AA33" i="5" s="1"/>
  <c r="AA33" i="7" s="1"/>
  <c r="AA34" i="7" s="1"/>
  <c r="AA12" i="5"/>
  <c r="AA6" i="6" s="1"/>
  <c r="AA7" i="6" s="1"/>
  <c r="AA10" i="6" s="1"/>
  <c r="Z55" i="7"/>
  <c r="AA36" i="5"/>
  <c r="AB33" i="5"/>
  <c r="AB33" i="7" s="1"/>
  <c r="AB34" i="7" s="1"/>
  <c r="Y33" i="5"/>
  <c r="Y33" i="7" s="1"/>
  <c r="Y34" i="7" s="1"/>
  <c r="AB6" i="6"/>
  <c r="AB7" i="6" s="1"/>
  <c r="AB39" i="5"/>
  <c r="AA29" i="5"/>
  <c r="AA35" i="4"/>
  <c r="AB36" i="4" s="1"/>
  <c r="AB65" i="7" l="1"/>
  <c r="C8" i="8" s="1"/>
  <c r="AA39" i="5"/>
  <c r="AB10" i="6"/>
  <c r="Y35" i="7"/>
  <c r="Y55" i="7"/>
  <c r="Z35" i="7"/>
  <c r="AB55" i="7"/>
  <c r="AB35" i="7"/>
  <c r="AA55" i="7"/>
  <c r="AA35" i="7"/>
</calcChain>
</file>

<file path=xl/sharedStrings.xml><?xml version="1.0" encoding="utf-8"?>
<sst xmlns="http://schemas.openxmlformats.org/spreadsheetml/2006/main" count="254" uniqueCount="173">
  <si>
    <t>A</t>
  </si>
  <si>
    <t>Alpha</t>
  </si>
  <si>
    <t>d</t>
  </si>
  <si>
    <t>r~</t>
  </si>
  <si>
    <t>k</t>
  </si>
  <si>
    <t>deltaA</t>
  </si>
  <si>
    <t>Time</t>
  </si>
  <si>
    <t>y ($th/worker)</t>
  </si>
  <si>
    <t>With improved investment climate</t>
  </si>
  <si>
    <t>Annual WACC reduction rate</t>
  </si>
  <si>
    <t>WACC in 2025</t>
  </si>
  <si>
    <t>Country Name</t>
  </si>
  <si>
    <t>Country Code</t>
  </si>
  <si>
    <t>Series Name</t>
  </si>
  <si>
    <t>Cameroon</t>
  </si>
  <si>
    <t>CMR</t>
  </si>
  <si>
    <t>Population, total</t>
  </si>
  <si>
    <t>Labor force, total</t>
  </si>
  <si>
    <t>Labor %</t>
  </si>
  <si>
    <t>Estonia</t>
  </si>
  <si>
    <t>EST</t>
  </si>
  <si>
    <t>Labor Total</t>
  </si>
  <si>
    <t>Share New</t>
  </si>
  <si>
    <t>Initial share</t>
  </si>
  <si>
    <t>Y-NEW$Bn</t>
  </si>
  <si>
    <t>WACC in 2050</t>
  </si>
  <si>
    <t>Y-OLD$Bn</t>
  </si>
  <si>
    <t>Y-OLD $Bn</t>
  </si>
  <si>
    <t>Y-NEW $Bn</t>
  </si>
  <si>
    <t>Y $Bn</t>
  </si>
  <si>
    <t>Energy</t>
  </si>
  <si>
    <t>OLD</t>
  </si>
  <si>
    <t>NEW</t>
  </si>
  <si>
    <t xml:space="preserve">MW/BnGDP </t>
  </si>
  <si>
    <t>Input</t>
  </si>
  <si>
    <t>Share NEW</t>
  </si>
  <si>
    <t>GDP Bn $2015</t>
  </si>
  <si>
    <t>GDP/capita Tn</t>
  </si>
  <si>
    <t>MW</t>
  </si>
  <si>
    <t>K $Bn</t>
  </si>
  <si>
    <t>WACC-Scale constant</t>
  </si>
  <si>
    <t>Share in 2050</t>
  </si>
  <si>
    <t>K-NEW $Bn</t>
  </si>
  <si>
    <t>K -OLD $Bn</t>
  </si>
  <si>
    <t>WACC</t>
  </si>
  <si>
    <t>WACC Scaling Constant</t>
  </si>
  <si>
    <t>delta</t>
  </si>
  <si>
    <t>MACC</t>
  </si>
  <si>
    <t>WACC(K)-Shape-Exponent</t>
  </si>
  <si>
    <t>ClimatePolicyRisk</t>
  </si>
  <si>
    <t>LCE for PV</t>
  </si>
  <si>
    <t>Capital cost</t>
  </si>
  <si>
    <t>$Mn/MW</t>
  </si>
  <si>
    <t>Investment $Mn</t>
  </si>
  <si>
    <t>Depreciation</t>
  </si>
  <si>
    <t>Demand GW</t>
  </si>
  <si>
    <t>Capacity load</t>
  </si>
  <si>
    <t>Capacities needed per 1 t H2</t>
  </si>
  <si>
    <t>H2 production 2025 Mnt</t>
  </si>
  <si>
    <t>H2 production 2050 Mnt</t>
  </si>
  <si>
    <t>Constant for concave function</t>
  </si>
  <si>
    <t>V=constant*t^0.6</t>
  </si>
  <si>
    <t>H2 production Mt</t>
  </si>
  <si>
    <t>H2 production cost per Mt H2 $M</t>
  </si>
  <si>
    <t>Total investment for H2 $Mn</t>
  </si>
  <si>
    <t>Price Mt H2</t>
  </si>
  <si>
    <t>Max $Mn/Mt</t>
  </si>
  <si>
    <t>Min $Mn/Mt</t>
  </si>
  <si>
    <t>Revenues (net) $Bn</t>
  </si>
  <si>
    <t>Renewable GWh</t>
  </si>
  <si>
    <t>Energy OLD GW</t>
  </si>
  <si>
    <t>Energy NEW GW</t>
  </si>
  <si>
    <t>Energy Total GW</t>
  </si>
  <si>
    <t>Rate per year</t>
  </si>
  <si>
    <t>Multiplier</t>
  </si>
  <si>
    <t>FF energy GWh</t>
  </si>
  <si>
    <t xml:space="preserve">Renewable energy </t>
  </si>
  <si>
    <t>Electricity per liquid H2 production</t>
  </si>
  <si>
    <t>CO2 reduction per 1 kg H2</t>
  </si>
  <si>
    <t>kg</t>
  </si>
  <si>
    <t xml:space="preserve"> 1GWh</t>
  </si>
  <si>
    <t>Capacity</t>
  </si>
  <si>
    <t>Production</t>
  </si>
  <si>
    <t>PV cost reduction rate</t>
  </si>
  <si>
    <t>Coefficent a for parabola</t>
  </si>
  <si>
    <t>Value CO2 $Mn</t>
  </si>
  <si>
    <t>CO2 price in 2050</t>
  </si>
  <si>
    <t>$/tCO2</t>
  </si>
  <si>
    <t>Carbon price $/tCO2</t>
  </si>
  <si>
    <t>Carbon premium per tH2 $</t>
  </si>
  <si>
    <t>Avoided CO2 emissions MtCO2</t>
  </si>
  <si>
    <t>Cost of 1 t H2 production</t>
  </si>
  <si>
    <t>CO2 emissions Mt</t>
  </si>
  <si>
    <t>Energy efficiency improvement rate</t>
  </si>
  <si>
    <t>GDP/Capita $ 2015</t>
  </si>
  <si>
    <t>For consumption</t>
  </si>
  <si>
    <t>For H2 production</t>
  </si>
  <si>
    <t>Price</t>
  </si>
  <si>
    <t>Carbon premium</t>
  </si>
  <si>
    <t>H2 revenues (export) $Bn</t>
  </si>
  <si>
    <t>Slow Transition</t>
  </si>
  <si>
    <t>Fast Transition</t>
  </si>
  <si>
    <t>kg CO2 per 1 kg H2</t>
  </si>
  <si>
    <t>MWh</t>
  </si>
  <si>
    <t>GWh</t>
  </si>
  <si>
    <t>Financial cost H2</t>
  </si>
  <si>
    <t>Net benefit</t>
  </si>
  <si>
    <t>ROI</t>
  </si>
  <si>
    <t>Share of H2 capital in total capital</t>
  </si>
  <si>
    <t>Crystal Ball Data</t>
  </si>
  <si>
    <t>Workbook Variables</t>
  </si>
  <si>
    <t>Last Var Column</t>
  </si>
  <si>
    <t xml:space="preserve">    Name:</t>
  </si>
  <si>
    <t xml:space="preserve">    Value:</t>
  </si>
  <si>
    <t>Worksheet Data</t>
  </si>
  <si>
    <t>Last Data Column Used</t>
  </si>
  <si>
    <t>Sheet Ref</t>
  </si>
  <si>
    <t>Sheet Guid</t>
  </si>
  <si>
    <t>Deleted sheet count</t>
  </si>
  <si>
    <t>Last row used</t>
  </si>
  <si>
    <t>Data blocks</t>
  </si>
  <si>
    <t>c01b8567-c3c9-4120-8ff4-ff108a57c692</t>
  </si>
  <si>
    <t>CB_Block_0</t>
  </si>
  <si>
    <t>㜸〱敤㕣㕢㙣ㅣ搷㜹摥㌳㝢攱捥㤲ㄴ㘹㔱扥挸昱㠵戱攳㌸㌱㔵㕡㤴㉤摦㔲㐵攵挵㤴攴㔰㈲㉤㔲㜲〲搷㔸つ㜷捦㠸㘳敤捣搰㌳戳㤴攸ㅡ戰攱搸㜵ぢ搷つ㤰戴㐵摤㌸㙤㘰ㄴ〱晡搲㌶㉦戹扦〴㐸㤰愰㜰㡡㍣㈴て〱昲攰ㅡ㐵晢㄰㈳㄰㤰㤷㍣〴㐸扥敦捣捣敥捣㉥㜷㐸慦敤㠴づ㜸攴晤㜹收摣收㥣昳㕦捦晦㥦㜱㑥攴㜲戹摦㈲昱㉦㔳㠱㤹㥢㤶㌷晤㐰摡㤳戳㙥愳㈱㙢㠱攵㍡晥攴戴攷ㄹ㥢ぢ㤶ㅦ攴搱愰㔴戵㔰敦ㄷ慢扥昵戴㉣㔷㌷愴攷愳㔱㌱㤷㉢㤷㜵つ昵ㅣ㠴扦搱昸㐱㘷慦愱〲挰捡散捣攲敡㤳ㄸ㜵㌹㜰㍤㜹㘸晣㝣搸昷搸搴搴攴搴攴扤昷㑦摤㌷㜹昸搰昸㙣戳ㄱ㌴㍤㜹捣㤱捤挰㌳ㅡ㠷挶㤷㥡慢つ慢昶㈹戹戹攲㕥㤲捥㌱戹㝡昸㥥㔵攳摥〷愶敥㍤㝡搴㝣昰挱〷㠶昰敡摣㤹搹㤹㈵㑦㥡晥㝢㌴㘶㤱㔳扥㜷㑥搶㉣慥㑤㑡捦㜲㉥㑥捥捥攰扦挴晣昱㜴晦攴昲㥡㤴〱㕦㉤㍤改搴愴慦愳攳愰㍤敤晢㑤㝢㥤㥢愷摢昳㔸㙡捤昰㠳愲㍤㉢ㅢつ摤㡥㐷㉤摢㡢搸扢㠶戱㌹㘴㉦㑢挷户〲㙢挳ち㌶㑢昶ち〶慡て摢攷㝣㜹搶㜰㉥捡㌳㠶㉤㡢昶㠹愶㔵㉦㠴㈹㤷扦㌳ㅥ㈲㌹㌱戵晣挹㘹摦㥥㕤㌳㍣㌵㈳㥦ㅢ㤳搱㜶摥慢愵摢摥摥㝢㕣㑥㕤扤㠱㘳摥搱扢ㅤ㙡捥ㅢ㕥慢攵㐴敦㤶搱攲搳㌳戸扢㜷晢挴ㅥ愵晢㝣扣㜷ㅦ戵㤵改搶㘲㌰愲㙦戵愳㔸㡣㕥㈲ㄸ㈰㈸ㄳ㄰㠱㝡㠵㘰㤰㘰〸㐰ㄴ㝥〵㉥㐹㜶㘴㤵㔶㌵戴敡慡㔶慤㘹搵扡㔶㤵㕡搵搴慡ㄷ戵敡㥡㔶戵戴敡㤳㕡昵ㄲ摡挴愹㍣㌰愰㐵改敢㉦㝥晦扥敡摢昹昹㉦〴晦晤挰昳户㝤改攵愱㝤㘸昴㘸㌴愹㌹捦戸っ㔲㙢㔳昱㤱挹挳晣户㍤㔷㠰㈹捣愳收晤收搴㔴晤攸㘱攳ㅥ愳挸㘵㘵㈰㍦㐵㈸愳㘸㍢㘴㍥㘶㌹㜵昷戲挲摤㑤㌳㠶㉦摢ㅢ㌷ㄱ搵捤戸㑤愷敥㝦㘸敢捡攵挰〸攴㡤㥤㜵敤㐱扡扡㉤㠳慤愴慦摥㜷㑢㘷户昳㐶愳㈹愷慦㔸㘱昵捤ㅤ搵昶㤲攷慥昶慥㥤昷攴㔳慤摡慥ㄹ㑤㐳愸㙤愸戱扢㔶ㄹ㔶㠵昳ㅡ㥦㕤㜳㝤改愸改㑤搸㑢㔶敤㤲昴㤶㈵㐵愲慣慢愵㕥换慡㠸敢㈷ㄶㅤ㉣ㄴ摣㕡扦㉤㔹㙡㍥㝣㈵〰㌳换㍡收扢㉥扤㘰㜳挵㔸㙤挸敢㔲㑤挲㜷愲攲㘰慡㜸摥慤㌵晤㔹搷〹㍣户㤱慥㤹慥㙦ㄸ㤰㌴昵搳㙥㕤ㄶち㌹㈵ㄴ㈰㜰昳㜹㈱㜲㜷昵收〵㠵㠸〴㡡挹挸㌷愴挹㙥昲㉣㔶㠷㔵㌴㈴㘹㔲晢挸㌶㠳㜱扥㑡挶㘴㜰㘰㘲㑤搴ㅦ㝣改挷戶ㄹ戶㠵戹昷户戱愶㡤㐵慢㝦㜸㐳㍡挱㐹挳愹㌷愴㤷愹晤〴㘷愴㡦〰ㄴ慦㐲㈰昴摣㍤慡㍡㜱㐵㙣ㄶ㉦㕢昵㘰慤戴㈶慤㡢㙢〱捡愰㈱换㘵㙥㙤㔷搲慦㐱㤱扥㥦㘰っ愰㔲挹㤵づ戰㔱愹㠲㤴㉢㔲㍡㘵昰㜲㑡㤰戳㕦㡡㤷㠷捣㜹慢ㄱ挸㔰㈸㡦㤸挰㐸愸搵ㄴ晡㠶㐹愲㥥㔱ぢㄵ挶〱㜳ㄶ㔴㙡㔸㑥戰搹收摢㉥㉥〹㠹㘸㑦ㄶ散㍡㔹㐰㔱㤰㤶〷ㄹ扣〶愲改㤰〶搹㡤ㄳ㐴㐴㌶挸搰散ㄸ㌹㑤㘴㙣㥦㈱㈳搰㍥㐹㠴㙣㝤戸户㡣㈰戱㜷ㄳ㈹㍢昵攴挷㍤㘹戶㤵㉤ㅦ㑡戳㙢戱㜱晡㜵〴搷ㄳ摣㐰㜰㄰㐰晣ㅦ㈴ㅣ愵ㅣ昲改愴㝦〸捦晡㑤〴㌷〳㐰㍥改㤴㌹㤱愸愲つ戵ㄳ㍢㤲敤㠶㘱㈷㉢愳㌸ㄴ㐵戴㡣㕢㜶收戰慤㄰ㅤ㔹㥤扢㐳搷ㄶ㤴㡥晤㘸㙦摡㑣㉥㠷ㄴ㤹搱㌴戹搶㙤㥡㈶㌷㠲㑤晢搴㕢户愲慢㍥㑥昰㘱㠰㡡㝥ㅢ㈱㤴ぢつ摥㥤㔹昴㌴㈹㍦㄰㘶㔱㘸っ昵愹攰㈳㐲收ㄱ㈰㐳挸㜵ㅤ㕦昶㙣㘸㥡㠳ㄳ收〷摥㠶㍥搴㥢扦㈳愴㜷攸捤㍤扤㐳㝦搱㍢戴愲㙦〷㝢㠹㥦昷搴㌱㜷愰㕡晦㈸挱㥤〰ㅤ㍡㠶愷敦㜷敡㈹㔰㘶戱㥤挰摣㝥㝡㕤㤴㤵扢戲戹㉥㤵〶ㅡ㌲㔷っ敦愲っ攰挱㌸㌵〷㕢搸昵㍣搹挰愱戶慥ち㜸㝥戹㍥㕤攸捦㝢慥捤昲㍤ㅢ搹晦㐰㈸㠶㐲㐱换攷㍡㙣攴っ㕢㌳攱㜳㑡㔰づ㜵昰㍤扤㠵㐴愲㔳㥡扣搸㉦晢㝣戹㈷㐹晡㤰㈴ㅦ挷戶敡㜷〱㐰㑡㠸㥦昶㤴㈸㠷搸散㑦㔴戳戴挵㑡て㕦挶改愴挳㠷搸㈵㐷〶㐳㠷敤っ晣〷晥戰扤㙣搹㉤㘱㌱㘸㉦㐹慦〶摦㠲搵㤰㤵搰㉤㑢㔱戳㈷㉢㍥㈰戲㈲㥦敦㍡㑦㘷昸搷ㄴ㥤㜴㐸㠹㑣㙥捦慣捣㌸㡢户㠹㡡㙥㐸ち㤵っ搷㔰㑢〲㤱昲搸㜶㑦挴昴㈱㘲敥挶挶改㠷〹愶〸㡥〰ㄴ㝦〴㐹戳搳㡤㘷㌸㙣㘰㠳㉥敤㙡㌵㔷㈶ㅡ㤴㡢昰㡤㥥挲敡㈸㕦㜳ㅦ挱晤〰ㅤ收てㅤ㤰ㄹ㠴愸㔰㥥㈰㐴ㄵ挶㌰捦㕢昲㌲㘹㘰㥦㠹挰搲㙣搳て㕣㥢㤱愵㘱㜳捥㍤攳〶㜳㤶扦㡥㐸搴㤸ㄹ㘵ㅥ㕢㤳づ愸换㠳敤搳㔱收慥慦换扡㙥㉥扢㑤㠸戶㔳㜳扢攱㘰㡥敤㠰㉤愹捥收㥡㐰敡敦㝣㡣㈱〴㜶㕡昹㕢改㡤摤㤱昷㥢㠷扥㤱昶㡥慥㔸㐱㐳づ㥡㈱搳㌱㕦㌶戱㡢㠸ㅣ搴〷捣㤵㌵㑦捡戹㘱昳㠴㘷搵ㅢ㤶㈳㠹っ搸㤸っ搶㉤挸㡢㠸ㄲ㉣戹㡣〱扡捥戰戹攲ㄹ㡥扦㙥㌰愰戸戹㍦昵愴挲㈲㐵㜳挶㜲㝣扣㐶㘱㤱昹ㄱ㜳㜹捤扤㡣㠸㙤搳㜶㑥ㄸ敢晥慥挰ち㠹㍥㑣ち㌵㐲ㄳ㥡㈶捡㕡戹㕦晣昰㐰㥥换㤱昷ち〴ち㔷戹㈲㝤收ㄹ摡㥢㜶㝤ㄴ愳愱㥤捥㌹つ㈱㝡搴㉡捣㘷㑡㘱㜲慡晥㈰晢㍣〴昰挸㠹㜳愷摡㤱戹㜷ㄵ戳㉥搲换㥦㈱攳ㄵ㔹戴〲㈱昴搱敤ぢ㐹㠵㘵愴ㅣ㜰㈰㌰捥愷㑥昲慢㤸慡つ愹㙦㕦㍢㍢㡦㐸搲㤰戹㘰慣捡〶攲搱戶ㄱ散ぢㅦ㘸挶摡㐶挳㡦敡㘶㕤摢㌶㐸㕡㈴换攵㥡㐱ち㥥㙥〶敥㘹换搱㑤〰㐵㝦㔱㤱㜱〵㐵挶ㄵ㔵㌴㘴㥥㘵㘸㔰攵㌹㤶㝢搱昰慣㘰捤戶㙡㘵㍥㌰㝣户㉢㘸ㄲ㑣㑥挹ㅢ愷㔸㘶㡣㜷㔸昳攷㘰戲昹㤳㐰昷㈴攴㈸户㡥攸〷攵㙡愲㠴㝦愲㑦挷ㄲ〴㡣昲㤴敡㝦㡡搱㡡敡㜶〴㐴㡥㑡㔷攳㍢ㄸ㔷㥦㐵㐹㈸㠴㠸昵っㄲ㠱㔷㌰㈱攴改攲㉥㤹攷ㅣ㉢〰昶㠸戱㜹㉢㤸昳㠱㜲〰㘴搵昱昶㐶㠵搵㐴愷㠹㤶㔶戸戵扢㉡愵㈶㙥改慥㑦敡㡤㡦㙣㔱ㅤ㙡㤴㠴㈲搹慥㤱搲㉣㕢捣㜱㌷愹ㅡ愱ㄴ㜷慣㙤㐴㤶摢戴扤敦㤴㈲敦㐲㌱㈹㥡挹改㥦㔴㠴㠲㐰㙦愴愳攸戳捦㈶㡦㐴挴㠶㌶㐰㠵㝡㉡㉣ㅢ㡥㐲㠲愷㜰敤愴㉥㉢搱ㄳ昸㝢㕦㤴㕤㙣〶愹ㅡ攳捡㔸㔴㌳摤㘸㉣㍡戰ㄲ㙡㠶㔷摦㈵㉣㡤戵㠵ㅡ㐶㜱㘷扦摡㍦摣摥〴㈳㐶㙣挸戰㐸㠶ㅦㄸ㙣〸收㑡㐴㔴㘹㥤つ㜳慢㕢挵㘵㍥㥤㤶㠶愳㌰戰ㅣ搴攷攴㠶㌲挳摡㤶晣㤸敡搰㍡㉤㉡㌹慡㥢搳慢㍥㔴㝡㐰㌹ㅥ攵ㄴ㠳敢收㔹扡愵㜰㠹〱㘲㌷捡㉤搵〲㠴㜶㕢〳昰㘴戰㝢戰㠳ㅤ〹㐳㈷戴捥㈸㐱㑢ㄹ㠴㥢㕥〴㜹愷㑦㡣㐲㤰㥡㉡晤昲戸昸愷㔷㤹晥敤㜸㉥捥㐴㑣挴㜰㔷㠶昵〰攴㈶㈳㤳攴愲戱㌸㘰ㅥ㑡㌶㈵戴㠶攲㌲㥡ㄸ挳㌴昹扣〰户㜸ㄸ换ㅡ㈱摢㌴㜰捦㉤戰愰㑤ㅢ㥢晢捣㔳㑥慤搱慣㑢愵㡡㘳㔹慤㌴昲慥挰㤷扡〲ㄸ㜲㔳挶扥㐴㥢㜲ち㐷㈹㉥㤹㐸敡摦敥搶㡦愳扢ㄲ㜲ㄸ㈳㔴㝤っ㐰㘶戸攵㔴㐰慣敢㥥〲敤挳晤敤ぢっ敡昲ㅣ㐴㕡㔷ㄱ㘵搹〲敥攳戵愲挸㡡摢ㄲ捤ㄶ摣〵㤷㌶㝢愲攸愴ㄵㄶ敤ちㅣ㘱㥤愱挰㉢㤵㘰㡣昴挹ㅤㅣ㈴㜷㌵㡡敥㕥㝤㔶㍤收慥〲ㄵち〳㠲㌱㕥㥥㠲㜲搸㔵㌰ㄲつ㙥慤㙤㜵ぢ㐶㝦㘹㜹敢搳〰㠲㘱㘰ㅡ戴㘸ㄹㅡ㌸戳挸㙦㙦攰摣㡡㔶ㄹㄱ搲㘴㌰㤵㌱捡㌱㌸散㠱㌴㜰ㄳて搲㉢㉥㤴㔰㜰㐰㕤っ㡢敦㈶㑥搸㌸〲戹摥㜵ㅤ㠵㑢㐶㠰敢㉦捥挱㡥攲改㝡㥤收㉥晣㜳扢〲慢戸扡ㄱ㥡愳〷㍡㉥㘵愹㌵搱扥扢扤愳㈲扡㉣㜸㘴㙥昲愴ㄱ搴搶㤶㠳捤昰攲㔶扦㈴㔱晣づ晣ㄱ㕢扥㥤㌶㜳挱攱㐵搴つ敥㝤攵㤲攳㕥㜶搴扣㡡㍥㙦晤㠱㐲㜰㠵㜲㠰㤳慣攴㝥㡢㝦㉡㘹戹攲户㌱攲㑥愶捤〱摡づㄲ㡥愳㔲㈸つ挶㤱捦愰ㄳ搸敥慤㕢〳愴㤳〳ㅤ㜴愲〴挱ㅥ愱㌸ㄷ摦㌳㐲ㄱ摦〲㕡㐹㉣攱㤱ㅣ㝢晥ㄵ戰扥昸㈶㑡㠸㜰㍣㐷㘲愴昸㘱攴㌲㔰愷〴㜹㜴挵㠳ㄷ㐲晥㜸戰ㄴ㜳昳㤶散昴㝢㘰㘶昱㡤㑥ㄴ摤㐲ㄴ㝤扤ぢ㐵㠲搷㐰ㄴ晦㍥㠲㑣㥣㡡っ捦扥愳㐰㌸搷戴㜷〰㝤摦㉦晣晥〱て愰ぢㄱ㜱㈸ㅢつ愱戶㍢昰摣㌲ㄱ昲㕤㈶〲㠳昷捡㐴㌸㡤㡣㘰ㄴ㍦㌴ㄱ㈲ㅦ挸㈲ち戶㌷ㄱㄸ摢换㌰〴ㄳ愱搶㠴㕢㠳㈷戰敢㙣晡挷㑥攲攲慤昴ㄱ捦㠷搲昲㘷攱㤱扡扥扢㜸挹昰っ晢愰㉡㍦攱㐹㈸㌳㙦〵㌷戹㔵ㄷ昶戸㜱换ㅡ搵㘹ぢ㕦㐵散㘵摦昳愷散散晥㍡㌰ㄵ愶搰㝤㉦捡愲昴㉥㍣㈵㠲攷㠶摣㕦ㅣ昸昷ㄳ晦昳昴ぢ挷㜹㕢㉤愲搵攲㕤挸昷ㄳ戲愷㍤㠱愰㙥攲愲挸戵晣㌰攷㌴㍥㔱戲搶ㅢ㜲挶昰㤴ㄵ攴敢㜶㥣つ〹㉦㐱㤸㈱昱敤〶ㄳㄳ昷ㅥ㐲ㄳ㜳戲挳摤愹㍥㙣㔲㉥挲挹挴挴㤵㑦㉦づㅢ㡡㥥㡡慣㑦㙢戳昸㥦㔰㐵敦㜰㈲㘹㉢㤱愷㑥㈶㈱晥愳㔳搷ㅤ愵慥ぢて㌲っ晢挷㔲ち昱〷㔲㐸昲㈰挳ぢ〱㑡㑡㥤㐵愶㜸㌷㐰㐶㘴慤㌳挴㑢㝦挰㥥㄰㤰慤㑢㝦㝤㝥挴㠲㕤〴ㄶ㘳㕦㝣扦㈷㕡摡愲戱㙡㘲愸㔶搹㌴换挸愸挳ぢぢ愶攲搲㤴愵㜳〴愵㍢㜶㐷昱㈵挳㜶ㄸ㜸ぢㄹ扢㘸搳搷㔶戱ㅦ㜶㥡戸昹〱㍤㔳㔲ち挳搹捦㘲ㅣ㐸㔵㡣㉥㙣㕡〹㡢〸㐷挲㙣慢搳㘰㔴〵㥤攵ㅣ挴愹ㄴ挱㍦㝥㈹挴晡㠹昶搰搷㜶搶㔰挷㌹〳㔸㈰㝦戰扦㙥挹㘰㙣扣㤵ㅣ〳〹扢愳㔶攵昰㝡昸㌹㜴攱愲㜳㐲㙦㘷搵戳㌸㡡㍦㌱㘷攵戵㉥晤捦攸戵攲慣昳散捤㌰㜶㑡晦㝦ㅡ〵摢敡㝦挱搸㥢㐲攴㘷愲っㅦ㡡㡣㥦㙣ㅢ戲攱㡥挰戳㡤攰㡤㍡ㄸ敢㉡换㤰㜷㤸㕢挶挷慢㘱戵㤲攰昰㝢ㄵ㍡慦㐶戴晡搲戶ㅤ散㈹〰ㄹㅢ㉡㝥〵㈲愸㘷晦戴摣㡡㑦户愵挷搱昱挰㘹慢收戹扥㙢〶攳换〸晡㡥昳摢㌳ㄳ㌶捦戴昸搷㑥愱㜶㍢㜶㘲攸〹昴㌹戳〸㠱㝤㐶〶敦㔵㉣㤲㤱㠵㥤㐵㌲昸ㅤ搲㘸㈲扣㐴敤攰㕦㘳㍥摡㌴ㅡ昸㜴㜵ㄱ扥捥㠰㐵扢㐲搹㠵ㅥ攷捥ㅢㅡ摣㍡摣搱晡ㄴ晣㐱戲㌱㠹攰㤸㕡挲攳㑦㜰㕦㍢昷㈰摤㌶㕡㥢捦㤶晤昹摣㉡挵搷㠱搳㥤扤㈵㑤㌲㝣㈷扦㐸慥攸㔵㐲㕣摡㍦㡥扦㍢㜷搰㜲戴㌱搰㜹昴㐱㌷ㅤ㘱ㄳつ戸捦㜶㄰晤扥㠰慥㘲㥡〰㍦摤㠸㌲㝣㄰昴昲㤱ㄵ挵㍦㘳㔹㘴〰攴㜳愵ㅡ㐰㙦慡㝥㙤㉢慡ㅥ㡤〵戲攰ㄹ㠳攴㔸ㄱ㕦㐴㐳㙥㔷戸㙣戰〴㤷㉤搴㔹〲㜹㍤敥㠱㝣㑥昰㉣愱㈶昲㡦攸搰㥡㠸㠵搲摥ㄳ昹㠷慤㈶㈲㘸〵愸㠵㈶挷ㅦ㡤戵㠸摥㐰戵㙥ㄳ㌸〴㉥挰〸挵㈲㘵㑤㈹っ㉤㝣㤳㤸㐱晡㜱昴昷捤攳㍦㝡㠳改敤攳㐲〹㐲㔴愵㈷㑦㐱愸㈶晦戹攴攴㍤㤴昶㥥晣㉢㕢㑤㝥㤴㌲㤲㌳搱〳㠰攱扣愸攲㡦㕡㑣ㄳㄹ敥㈳㝦攲〲〱㝥愹㔹㡣ㅡ㈸㔱㝤㉦㈳㠳扥摣㜰搵敡ち㌲㜱摦㈲搷㥦昱㜱㡦戲㡦㜸ㄱ㤲扥㥣㔲攸㡣㉤㠵㕡戱㙣㐷㕥搸㕤㈱ㅢ戰㈴㝥㉤摢㔳愴㤷晡㡣昰㡢㤷㘲挴㥣㍣ㄹ㝦㌹愵㐵㌱㈷㄰㐶㘸㤱㤲㝥戸㤱攲㉦攳挶㕦晤㕡摢㘵㡡ち㈴㔰㑦搸㤸㜴愶ㅡ扦ㄸ㌷㍥㠲慦戲㔴㥢ㅣ㙦㄰㌰扤ㄹ㌷㈶㍤慡挶㉦挴㡤㝦㜱攴㘰慢㜱㑣㠷攱挸㐵ㄲ㐹㠶慤慢慣晦挴ㄷ摡㈳㘸㕥㌴愹㍦〷捤戰㤸㤲㔳㠵㡥ㅢ㑡㠳づ攱㌲㠸㠷㙦愴ㄷ㜰户〹㔷㐰㈰㘴挳晦㔵挲㈹摣㜹㥡㌳〲〳㥦㐰㙦㈰搸散改敡㠹㥤㑢收愲㠷㠲〱昳㤴㡦㌳㔵㝤㔷㤱〸捣㠱㐲戸扦摢㌸攵㌳㑣挷昶㝥挴㐱㌲㡤㜷㐸晡㔳ㅥ㉡戰㔲㄰捦挷㤸捤㍤搷愶ㄹ晤㔹㈰〷搲ㄱ㤰ㄹ晤㌹挰㌰㄰挳摢捡戹㔱昲扦㘲敥攷㔹昱㔹㠲ㄷ〰㉡㠲捣㑥㍡㈸扤〸㌰ㄲ晦㡦㉡挶㌷㤴扦㐴ㄳ㑦挷㉦㑢㤲㤱晥ㄲ㍢晣ㄵ㐰ㅥ敥㕢ㄱㄱ㘱㐵晦㙢㤴㈴㕦㑡挱愱㕥晡㌲㉢晥㠶攰ㄵ㠰㑡㤱㤳摤昱慥㜱㑤㝤㙡慥扦㐵㔷昱ㅣ〱㝥晡攷愲っㅦ㡡摣㠷㑦昴戶㤵㜹ㄴ㡥㍦散㐷愸㌳昵〵晦挳昸㈲㝦㤳㡢捥攳㝦㐸㔲㔴㠶㝤㐱㝢愸扦戱挸〴戴挹搵㙦ㅤ㥢晤㉥挶攱扡摡ㄱㄴ㡥㐸愵㔲搶㑡㠲昸收㠲㠵㡢㌷昰㉤挷㔴㠵㄰愴〱㔵攱㐴ㄵ挷㔱愰㝦㠱㑤㠹㘳攲㐹晦㍢㍥ㄱ戵㙡ㄳ晦㍥捡昰㐱㄰慦慡晢㤳㔱昷昸㠵挴戵慡戰㍡㕥㐸晣慢㡡戵攴ぢ㕦攵㘰ち㔹挸愴戵ㄲ㤱愶㘸攸㡢挸っ攷㐷㌸户挷昰搳慥㠸摡㠵晡㠵ぢ扦ㅥ㈹㡣摦㔸昸昴㥦つ扤晡收㝦扤昵昹㥦晣昹戱晦晦捤㙢慦晤攴㝦㍦晦挶㙦扥戳㝡散〷慦扦晥扤㐷晥攵㡤户昶㥢㕦搶扥昶敢㠵㉦㍦㌳㜵改㤹愷捣㜳㜷㥤㜸收㌳㑦㍥㍡戵㜴捤㐴㍥㍦㌰㜰攷搸て㙦昸搸攸㜳㑦㝤㐳㝣昷㘷搷㍢㐲㉤ㄷ㉦㐸㑦㠳换㔶搳昸ㄲ㌲㤸〶㘷晣扥㑥㠳换㔵ㅢ戵ㅡ㙤搴っち捡昰㘹㜰〲慡挲㐸㔷っ晥づ㐳ㅦ戲敦</t>
  </si>
  <si>
    <t>Decisioneering:7.0.0.0</t>
  </si>
  <si>
    <t>8f477d39-5851-456a-84f2-cbb3c60c4a85</t>
  </si>
  <si>
    <t>CB_Block_7.0.0.0:1</t>
  </si>
  <si>
    <t>8358049b-606f-4195-9c57-6790ddebc20f</t>
  </si>
  <si>
    <t>fcedb6df-e7c7-4aa3-b691-b6f0420b4ed1</t>
  </si>
  <si>
    <t>㜸〱敤㕣㕢㙣ㅣ㔷ㄹ摥㌳摥㕤敦慣敤搸㡤搳㑢㑡㘹㕤㑡㈹搴挱㡤搳㠶搲㐲〸扥㌴㤷攲挴㙥散愴㐵㠰㌶攳摤㌳昱㌴㍢㌳捥捣慣ㄳ㤷㑡慤愰摣〴〵㠹㥢㈸㤴㡢㉡〴攲㠵换〳搰㐲㕦㤰㤰㐰愸㐸㍣㤴〷㈴㈴ち㐲昰〰㐲㤱攰㠱〷㈴昸扥㌳㌳扢㌳扢摥戱扢㙤挱㐵㍥改晥㍥㜳㙥㜳捥昹慦攷晦捦㌴㈷㜲戹摣扦㤱昸㤷㈹捦捣㜵㡢敢㝥㈰敤㠹ㄹ户㕥㤷搵挰㜲ㅤ㝦㘲捡昳㡣昵㌹换て晡搰愰㔸戱㔰敦ㄷ㉡扥昵㤰㉣㔵搶愴攷愳㔱㈱㤷㉢㤵㜴つ昵ㅣ㠴扦㤱昸㐱㘷慦挱㍣挰搲捣昴晣昲㠳ㄸ㜵㌱㜰㍤戹㙦散㑣搸昷搰攴攴挴攴挴ㅤ㜷㑥扥㘵㘲晦扥戱㤹㐶㍤㘸㜸昲㤰㈳ㅢ㠱㘷搴昷㡤㉤㌴㤶敢㔶昵㕤㜲㝤挹㍤㉦㥤㐳㜲㜹晦敤换挶ㅤ㙦㥤扣攳攰㐱昳慥扢摥㍡㠸㔷攷㑥捥㑣㉦㜸搲昴㕦愶㌱ぢ㥣昲ㅤ戳戲㙡㜱㙤㔲㝡㤶㜳㙥㘲㘶ㅡ晦㈵收㡦愷㍢㈷ㄶ㔷愴っ昸㙡改㐹愷㉡㝤ㅤㅤ〷散㈹摦㙦搸慢摣㍣摤㍥㠲愵㔶つ㍦㈸搸㌳戲㕥搷敤㜸搴㤲㍤㡦扤慢ㅢ敢㠳昶愲㜴㝣㉢戰搶慣㘰扤㘸㉦㘱愰摡㤰㝤摡㤷愷っ攷㥣㍣㘹搸戲㘰ㅦ㙤㔸戵㝣㤸㜲㝤户挴㐳㈴㈷愶㤶㍦㌱攵摢㌳㉢㠶愷㘶攴㜳㘳㌲摡ㅥ昱慡改戶㌷㜵ㅦ㤷㔳㔷㙦攰㤸㌷㜷㙦㠷㥡㌳㠶搷㙣㌹摥扤㘵戴昸昴っ㙥敢摥㍥戱㐷改㍥㙦敡摥㐷㙤㘵扡戵ㄸ㠸攸㕢敤㈸ㄶ愳ㄷ〹晡〹㑡〴㐴愰㕥㈶ㄸ㈰ㄸ〴㄰昹扦㠳㑢㤲ㅤ㔹愵㔵っ慤戲慣㔵慡㕡愵愶㔵愴㔶㌱戵捡㌹慤戲愲㔵㉣慤昲愰㔶㌹㡦㌶㜱㉡昵昷㙢㔱扡昰慢敦晦攵㠱㤹愹㘳捦晥攳㥢捦㕦戸晢㜷㍦ㅢ摣㠵㐶昷㐵㤳㥡昵㡣㡢㈰戵ㄶㄵㅦ㤸搸捦㝦㥢㜳〵㤸挲㍣㘸摥㘹㑥㑥搶づ敥㌷㙥㌷ち㕣㔶〶昲㔳㠴㌲㠲戶㠳收晤㤶㔳㜳㉦㉡摣㕤㌷㙤昸戲戵㜱攳㔱摤戴摢㜰㙡晥㙢㌶慥㕣っ㡣㐰㕥摢㕥搷ㅡ愴愳摢㈲搸㑡晡敡㝤搷户㜷㍢㘳搴ㅢ㜲敡㤲ㄵ㔶扦戶慤摡㕥昰摣攵敥戵㐷㍣㜹愱㔹摢㌱愳㈹〸戵㌵㌵㜶挷㉡挳慡㜰㕥㘳㌳㉢慥㉦ㅤ㌵扤㜱㝢挱慡㥥㤷摥愲愴㐸㤴㌵戵搴㉢㔹ㄵ㜱晤昸扣㠳㠵㠲㕢㙢慦㑢㤶㥡昷㕣ち挰捣戲㠶昹慥㑡㉦㔸㕦㌲㤶敢昲慡㔴㤳昰㥤愸搸㥢㉡㍥攲㔶ㅢ晥㡣敢〴㥥㕢㑦搷㑣搵搶っ㐸㥡摡〹户㈶昳昹㥣ㄲち㄰戸㝤㝤㐲攴㙥敤捥ぢちㄱ〹ㄴ㤳㤱慦㐹㤳摤挴㈹慣づ慢愸㑢搲愴昶晡㑤〶攳㝣㤵㡣挹攰挰挴㥡愸㍦昸搲㌷㙥㌲㙣ㄳ㜳慦㙣㘳㑤ㅢ㡤㔶㝦捦㥡㜴㠲㘳㠶㔳慢㑢㉦㔳晢〹捥㐸ㅦ〶㈸㕣㠶㐰攸扡㝢㔴㜵攲㤲㔸㉦㕣戴㙡挱㑡㜱㐵㕡攷㔶〲㤴㐱㐳㤶㑡摣摡㡥愴㕦㠱㈲㝤㌷挱㈸㐰戹㥣㉢敥㘱愳㘲ㄹ㈹㔷愰㜴捡攰攵㤴㈰㘷扦ㄴ㉦て㥡㐷慣㝡㈰㐳愱㍣㙣〲㈳愱㔶㔳攸ㅢ㈲㠹㝡㐶㌵㔴ㄸ㝢捣ㄹ㔰愹㘱㌹挱㝡㡢㙦㍢戸㈴㈴愲ㅤ㔹戰敤㘴〱㐵㐱㕡ㅥ㘴昰ㅡ㠸愶㑤ㅡ㘴㌷㑥㄰ㄱ搹㈰㐳戳㘳攴㌴㤱戱㝤㠶㡣㐰晢㈴ㄱ戲昵晥敥㌲㠲挴摥㐹愴散搴㤵ㅦ㜷愴搹㐶戶㝣㈸捤慥挴挶改㔷ㄱ㕣㑤㜰つ挱㕥〰昱㈷㐸㌸㑡㌹攴搳㐹㝦つ㥥昵敢〸㕥ぢ〰昹愴㔳收㐴愲㡡㌶搴㔶散㐸戶ㅢ㠲㥤慣㡣攲㔰ㄴ搱㌲㙥摡㤹㐳戶㐲㜴㘴㜵㙥て㕤㥢㔷㍡昶つ摤㘹㌳戹ㅣ㔲㘴㐶搳攴㕡㌷㘹㥡摣〸㌶敤㔱㙦摤㠰慥晡ㄸ挱㡤〰㘵晤㜵㠴㔰㉥㌴㜸户㘶搱搳愴㝣㔵㤸㐵愱㌱搴愳㠲㡦〸㤹㐷㠰っ㈱搷㜱㝣搹戱愱㘹づ㡥㥢慦㝡ㅢ㝡㕦㜷晥㡥㤰摥愶㌷㜷昴づ晤㐵㉦搲㡡扥〹散㈵㝥摢㔵挷摣㡣㙡晤つ〴户〰戴改ㄸ㥥扥㕦慣愷㐰㤹挵㜶〲㜳扢改㜵㔱㔶敥搲晡慡㔴ㅡ㘸搰㕣㌲扣㜳㌲㠰〷攳昸㉣㙣㘱搷昳㘴ㅤ㠷摡㥡㉡攰昹攵敡㜴愱㝦挴㜳㙤㤶敦搸挸晥慢㐲㌱攴昳㕡㕦慥捤㐶捥戰㌵ㄳ㍥愷〴攵㔰〷摦摥㕤㐸㈴㍡愵挹㡢晤戲捦㤷㍢㤲愴〷㐹昲㈶㙣慢㝥㉢〰愴㠴昸㜵㔷㠹戲㡦捤摥慣㥡愵㉤㔶㝡昸㌲㑥㈷㙤㍥挴づ㌹㌲㄰㍡㙣愷攱㍦昰㠷散㐵换㙥ち㡢〱㝢㐱㝡㔵昸ㄶ慣扡㉣㠷㙥㔹㡡㥡ㅤ㔹昱㉡㤱ㄵ㝤㝤ㅤ攷改っ晦㥡愲㤳㌶㈹㤱挹敤㤹㤵ㄹ㘷昱ㄶ㔱搱つ㐹愱㤲攱ㅡ㙡㑡㈰㔲ㅥ摢敥㠸㤸ㅥ㐴捣㙤搸㌸㝤㍦挱㈴挱〱㠰挲㉦㈱㘹戶扡昱っ㠷昵慦搱愵㕤愹攴㑡㐴㠳㜲ㄱ㍥搷㔵㔸ㅤ攴㙢摥㐲㜰㈷㐰㥢昹㐳〷㘴〶㈱㉡㤴㈷〸㔱㠵㌱捣㌳㤶扣㐸ㅡ搸㘵㈲戰㌴搳昰〳搷㘶㘴㘹挸㥣㜵㑦扡挱慣攵慦㈲ㄲ㌵㙡㐶㤹晢㔷愴〳敡昲㘰晢戴㤵戹慢慢戲愶㥢㡢㙥〳愲敤昸散㜶㌸㤸㘳㍢㘰㑢慡戳戹㈶㤰㝡㍢ㅦ㘳〸㠱㥤㔶晥㔶㝡㘳户攴晤收愱㙦戸戵愳㑢㔶㔰㤷〳㘶挸㜴捣㤷㑣散㈲㈲〷戵㝥㜳㘹挵㤳㜲㜶挸㍣敡㔹戵扡攵㐸㈲〳㌶㈶㠳㜵㜳昲ㅣ愲〴ぢ㉥㘳㠰慥㌳㘴㉥㜹㠶攳慦ㅡっ㈸慥敦㑥㍤愹戰㐸挱㥣戶ㅣㅦ慦㔱㔸㘴㝥搸㕣㕣㜱㉦㈲㘲摢戰㥤愳挶慡扦㉤戰㐲愲て㤳㐲㡤搰㠴愶㠹㤲㔶敡ㄵ㍦㍣㤰攷㜲攴扤㍣㠱挲㔵慥㐰㥦㜹㠶昶愶㕤ㅦ挵㘸㘸愷㜳㑥㠳㠸ㅥ㌵ぢ晢㌲愵㌰㌹㔵扦㡢㝤敥〶戸昷攸改攳慤挸摣㑢㡡㔹ㄷ攸攵捦㤰昱㡡㉣㥡㠱㄰晡攸㜶㠵愴挲㌲㔲づ㌸㄰ㄸ攷㔳㍢昹㤵㑤搵㠶搴户慢㤵㍤㠲㐸搲愰㌹㘷㉣换㍡攲搱戶ㄱ散ちㅦ㘸挶摡㐶摤㡦敡㘶㕣摢㌶㐸㕡㈴换挵慡㐱ち㥥㙡〴敥〹换搱㑤〰㐵㝦㔱㤱㜱〹㐵挶㈵㔵㌴㘸㥥㘲㘸㔰攵㌹㤶㝢捥昰慣㘰挵戶慡㈵㍥㌰㝣户㉤㘸ㄲ㑣㑥挹ㅢ愷㔸㘶㡣戵㔹昳愷㘱戲昹ㄳ㐰昷〴攴㈸户㡥攸〷攵㙡愲㠸㝦愲㐷挷ㄲ〴㡣昲㤴敡㙦挷㘸〵㜵㍢〲㈲㐷愵换昱ㅤ㡣换㡦愰㈴ㄴ㐲挴㝡〶㠹挰㉢㤸㄰昲㜴㜱ㄷ捤搳㡥ㄵ〰㝢挴搸ㄱ㉢㤸昵㠱㜲〰㘴搵昱昶㕡㠵搵㐴愷昱愶㔶戸愱戳㉡愵㈶慥敦慣㑦敡㡤搷㙦㔰ㅤ㙡㤴㠴㈲搹慣㤱搲㉣ㅢ捣㜱㍢愹ㅡ愱ㄴ㜷慣㙤㐴㤶摢戴戵敦㤴㈲㉦㐱㌱㈹㥡挹改敦㔰㠴㠲㐰㙦愴愳攸戳捦㈶㡦㐴挴㠶㌶㐰㤹㝡㉡㉣ㅢ㡡㐲㠲挷㜱敤愴㈶换搱ㄳ昸㝢㔷㤴㥤㙦〴愹ㅡ攳搲㘸㔴㌳㔵慦捦㍢戰ㄲ慡㠶㔷摢㈶㉣㡤戵㠵ㅡ㐶㜱㘷慦摡㍦摣摥〴㈳㐶㙣挸戰㐸㠶ㅦㄸ㙣〸收㑡㐴㔴㘹㥤つ㜱慢㥢挵㈵㍥㥤㤰㠶愳㌰戰ㄸ搴㘶攵㥡㌲挳㕡㤶晣愸敡搰㍣㉤㉡㌹慡㥢㔳换㍥㔴㝡㐰㌹ㅥ攵ㄴ㠳敢收㈹扡愵㜰㠹〱㘲㌷捡㉤㔴〳㠴㜶㥢〳昰㘴戰㝤戰㠳ㅤ〹㐳㈷戴捥㈸㐱㡢ㄹ㠴㥢㕥〴㜹愷㐷㡣㐲㤰㥡㉡晤敤戰昸攲ㄳ㑣摦㍡㥣㡢㌳ㄱㄳ㌱摣㤵㘱㍤〰戹挹挸㈴戹㘸㌴づ㤸㠷㤲㑤〹慤挱戸㡣㈶挶㄰㑤㍥㉦挰㉤ㅥ挶戲㠶挹㌶㜵摣㜳ぢ㉣㘸搳晡晡㉥昳戸㔳慤㌷㙡㔲愹攲㔸㔶㉢㡤扣㉤昰愵慥〰㠶摣㤴戱㉦搱愶ㅣ挷㔱㡡㑢㈶㤲㝡户扢昵挳攸慥㠴ㅣ挶〸㔵ㅦ〳㤰ㄹ㙥㌹ㄵ㄰敢戸愷㐰晢㜰㜷敢〲㠳扡㍣〷㤱搶㔱㐴㔹㌶㠷晢㜸捤㈸戲攲戶㐴戳㌹㜷捥愵捤㥥㈸㍡㘶㠵㐵摢〲㐷㔸㘷㈸昰㡡㐵ㄸ㈳㍤㜲〷〷挹㕤㡥愲扢㤷ㅦ㔱㡦戹换㐰㠵挲㠰㘰㡣㤷愷愰ㅣ㜶ㄵ㡣㐴㠳㕢㙢㔹摤㠲搱㕦㕡摥晡ㄴ㠰㘰ㄸ㤸〶㉤㕡㠶〶捥っ昲㥢ㅢ㌸㌷愰㔵㐶㠴㌴ㄹ㑣㘵㡣㜲ㄴづ㝢㈰つ摣挴㠳昴㤲ぢ㈵ㄴ散㔱ㄷ挳攲扢㠹攳㌶㡥㐰慥㜷㔵㕢攱㠲ㄱ攰晡㡢戳户慤㜸慡㔶愳戹ぢ晦摣戶挰㉡慥㙥㠴收攸㥥戶㑢㔹㙡㑤戴敦㙥㙡慢㠸㉥ぢㅥ㤸㥤㌸㘶〴搵㤵挵㘰㍤扣戸搵㉢㐹ㄴ㥥㠵㍦㘲挳户搳㘶捥㍢扣㠸扡挶扤㉦㥦㜷摣㡢㡥㥡㔷挱攷慤㍦㔰〸慥㔰昶㜳㤲攵摣扦昱㑦㈵㉤㔷昸㌱㐶摣捡戴㌹㐰换㐱挲㜱㔴ち愵挱ㄸ昲ㄹ㜴〲摢扤㜹㙢㠰㜴戲愷㡤㑥㤴㈰搸㈱ㄴ攷摣换㐶㈸攲㐷㐰㉢㠹㈵㍣㤲㘳捦扦〱搶ㄷ捦愰㠴〸挷㜳㈴㐶ち㌷㈲㤷㠱㍡㈵挸愳㉢ㅥ扣㄰昲晦㠳愵㤸㥢㌷㘴愷晦〲㌳㡢愷摢㔱㜴㍤㔱昴挳づㄴ〹㕥〳㔱晣㝢㉦㌲㜱㉡㌰㍣晢愲〲攱㕣搳捥〱昴ㄵ扦昰晢㍦㍣㠰捥㐵挴愱㙣㌴㠴摡㙥挶㜳搳㐴攸敢㌰ㄱㄸ扣㔷㈶挲〹㘴〴愳昸愱㠹㄰昹㐰收㔱戰戹㠹挰搸㕥㠶㈱㤸〸戵㈶摣ㅡ㍣㠱㕤㘵搳㍦㜶っㄷ㙦愵㡦㜸㍥㤴㤶㍦〳㡦搴搵㥤挵ぢ㠶㘷搸㝢㔵昹㔱㑦㐲㤹㜹㑢戸挹慤扡戰挷戵ㅢ搶愸㑥ㅢ昸㉡㘲㉦晢㡥㍦㘵㙢昷搷㠱愹㌰㠵敥㝢㔱ㄲ挵㤷攰㈹ㄱ㍣㌷攴摥扦攷摢㐷㝦晦搰㘳㠷㜹㕢㉤愲搵挲慤挸昷ㄲ戲愷㍤㠱愰㙥攲愲挸㤵晣㌰攷〴㍥㔱戲㔶敢㜲摡昰㤴ㄵ攴敢㜶㥣つ〹㉦㐱㤸㈱昱㙤〷ㄳㄳ昷ㅥ㐲ㄳ㜳愲捤摤愹㍥㙣㔲㉥挲㠹挴挴㤵㑦㉦づㅢ㡡慥㡡慣㐷㙢戳昰㕤愸愲ㄷ㌹㤱戴㤵挸㔳㈷㤳㄰摦㘹搷㜵〷愹敢挲㠳っ挳晥戱㤴㐲晣㠱ㄴ㤲㍣挸昰㐲㠰㤲㔲愷㤰㈹摣〶㤰ㄱ㔹㙢て昱搲ㅦ戰㈳〴㘴昳搲㕦㡦ㅦ戱㘰ㄷ㠱挵搸ㄷ摦敢㠹㤶戶㘸慣㥡ㄸ慡㔵㌶捤㈲㌲敡昰挲㠲挹戸㌴㘵改ㅣ㐰改㤶摤㔱㝣挹㤰ㅤ〶摥㐲挶㉥搸昴戵㤵敤㝢㥣〶㙥㝥㐰捦ㄴ㤵挲㜰㜶戳ㄸ〷㔲ㄵ愳ぢ㥢㤶挳㈲挲攱㌰摢散㌴㄰㔵㐱㘷㌹㝢㜱㉡㐵昰㡦㕦ち戱㝥扣㌵昴㤵敤㌵搴㜱㑥㍦ㄶ挸ㅦ散慦敢㌳ㄸㅢ㙦㈵挷㐰挲㙥愹㔵㈹扣ㅥ㝥ㅡ㕤戸攸㥣搰㕢㔹昵㉣づ攲㑦捣㔹㝤㕡㠷晥㘷昴㕡㜱搶ㄹ昶㘶ㄸ㍢愵晦ㅦ㐰挱愶晡㕦㌰昶愶㄰昹敥㈸挳㠷〲攳㈷㥢㠶㙣戸㈳昰㙣㈳㜸愳づ挶扡捡㌲攴ㅤ收ㄶ昱昱㙡㔸慤㈴㌸晣㕥昹昶慢ㄱ捤扥戴㙤〷扡ち㐰挶㠶ち摦㠰〸敡摡㍦㉤户攲搳㙤昱㍤攸戸攷㠴㔵昵㕣摦㌵㠳戱㐵〴㝤挷昸敤㤹〹㥢㘷㑡㝣扤㕤愸摤㠴㥤ㄸ㝣ㅦ晡㥣㥣㠷挰㍥㈹㠳㤷㉢ㄶ挹挸挲搶㈲ㄹ晣づ㘹㈴ㄱ㕥愲㜶昰慦㌰敦㙢ㄸ㜵㝣扡㍡て㕦㘷挰愲㙤愱散㐲㡦㜳晢つつ㙥ㅤ敥㘸扤ぢ晥㈰㔹㥦㐰㜰㑣㉤攱㍤敦攳扥戶敦㐱扡㙤戴㌶㥦㉤㝢昳戹㤵ぢ㑦〱愷㕢㝢㑢㥡㘴昸㑥㝥㤱㕣搶㉢㠴戸戴㝦ㄸ㝦户敥愰攵㘸愳愰昳攸㠳㙥㍡挲挶敢㜰㥦㙤㈱晡㝤ㄶ㕤挵ㄴ〱㝥扡ㄱ㘵昸㈰攸攵㈳㉢㡡慦㘰㔹㘴〰攴㜳挵㉡㐰㜷慡㝥㜲㈳慡ㅥ㠹〵戲攰ㄹ㠳攴㔸ㄶ㕦㐲㐳㙥㔷戸㙣戰〴㤷㉤搴㔹〲㜹㍤敥㠱㝣㑥昰㉣愱㈶昲〵㜴㘸㑥挴㐲㘹昷㠹㝣㝥愳㠹〸㕡〱㙡愱挹昱㐷㘲㉤愲搷㔱慤摢〴づ㠱ぢ㌰㑣戱㐸㔹㔳っ㐳ぢ捦㄰㌳㐸扦㡡晥扥㜰昸㤷捦㌱晤昵戰㔰㠲㄰㔵改挹㔳㄰慡挹㝦㉡㌹㜹て愵摤㈷晦昸㐶㤳ㅦ愱㡣攴㑣昴〰㘰愸㑦㔴昰㐷㉤愶㠱っ昷㤱㍦㜱㤶〰扦搴㉣㐶っ㤴愸扥ㄷ㤱㐱㕦㙥戸㙡㜵〹㤹戸㙦㠱敢捦昸戸㐷搹㐷扣〸㐹㕦㑥㌱㜴挶ㄶ㐳慤㔸戲㈳㉦散戶㤰つ㔸ㄲ扦㤶敤㉡搲㡢㍤㐶昸挵㐷㘲挴ㅣ㍢ㄶ㝦㌹愵㐵㌱㈷㄰㐶㘸㤱㤲㝥戸㤱攲挳㜱攳敦晤愰攵㌲㐵〵ㄲ愸㈷㙣㑣㍡㔳㡤㍦ㄴ㌷㍥㠰慦戲㔴㥢ㅣ㙦㄰㌰扤㄰㌷㈶㍤慡挶㡦挵㡤晦㜲㘰㙦戳㜱㑣㠷攱挸〵ㄲ㐹㠶慤慢慣晦挴ㄷ摡挳㘸㕥㌰愹㍦〷捣戰㤸㤲㔳㠵㡥敢㑡㠳づ攲㌲㠸㠷㙦愴攷㜰户〹㔷㐰㈰㘴挳晦㔵挲㜱摣㜹㥡㌵〲〳㥦㐰慦㈱搸散改敡㠹㥤㡢收扣㠷㠲㝥昳戸㡦㌳㔵㙤㕢㤱〸捣㠱㝣戸扦㥢㌸攵㌳㑣挷搶㝥挴㐱㌲㡤㜷㐸㝡㔳ㅥ㉡戰㤲ㄷㅦ㠸㌱㥢㝢戴㐵㌳晡㈳㐰づ愴㈳㈰㌳晡愳㠰㘱㈰㠶户㤵㜳㈳攴㝦挵摣ㅦ㘰挵〷〹ㅥ〳㈸ぢ㌲㍢改愰昸㈱㠰攱昸㝦㔴㌱戶愶晣㈵㥡㜸㈸㝥㔹㤲㡣昴㡦戰挳㐷〱晡攰扥ㄵㄱㄱ㤶昵㡦愱㈴昹㔲ちづ昵搲㡦戳攲ㄳ〴㡦〳㤴ぢ㥣散㤶㜷㡤㙢敡㔱㜳㝤ㄲ㕤挵愳〴昸改㥦㡡㌲㝣㈸㜰ㅦ摥搶摤㔶收㔱㌸晥戰ㅦ愱捥搴ㄷ晣昷攰㡢晣㜵㉥扡て晦㐳㤲㠲㌲散昳摡摤扤㡤㐵㈶愰㑤慥㝥慢搸散㤷㌰づ搷搵㡡愰㜰㐴㉡㤵㤲㔶ㄴ挴㌷ㄷ㉣㕣扣㠱㙦㌹愴㉡㠴㈰つ愸ち㈷慡㌸㡣〲晤㌳㙣㑡ㅣㄳ㑦晡㘷昹㐴搴慡㑤晣㕣㤴攱㠳㈰㕥㔵昷〷愳敥昱ぢ㠹㙢㔵㘱戵扤㤰昸㔷ㄵ㉢挹ㄷ㍥挱挱ㄴ戲㤰㐹㙢㈵㈲㑤搱搰㤷㤰ㄹ敡ㅢ收摣敥挷㑦扢㈴慡㘷㙢㘷捦晥㜳㌸㍦㜶㙤晥㠱㜷づ㍥昱挲㉦晥昰改攷摦㝢攸捦晦㝡昲挹攷晦昸改攷晥昵散昲愱㥦㍤昵搴㑦敦晤敡㜳㝦搸㙤㝥㑤晢挱㍦攷扥昶昰攴昹㠷㉦㤸愷㙦㍤晡昰扢ㅦ扣㙦㜲攱㡡昱扥扥晥晥㕢㐶㝦㝥捤ㅢ㐷ㅥ扤昰戴昸挹㙦慥㜶㠴㕡㉥㕥㤰㥥〶㤷慤愶昱㘵㘴㌰つ捥昸ㄵ㥤〶㤷慢㌶㙡㌹摡愸㘹ㄴ㤴攰搳攰〴㔴㠵㤱慥ㄸ昸て㡢改戴捣</t>
  </si>
  <si>
    <t>1abae7e0-ceaf-437b-ac4f-cd99d804f88b</t>
  </si>
  <si>
    <t>86290929-4a33-4241-93b3-1a51a509f37c</t>
  </si>
  <si>
    <t>㜸〱敤㕣㕢㙣ㅣ㔷ㄹ摥㌳摥㕤敦慣敤搸㡤㤳戶㈹扤㤸㤶搲㔲〷㌷㑥ㅢ㑡ぢ㈱昸搲㕣㡡ㄳ扢戱㤳㠲〰㙤挶扢㘷攲㘹㜶㘶摣㤹㔹㈷㉥ㄵ慤愰㔰㄰ㄴ愴㜲ㄱ㠵㜲㔱㠵㤰㜸攱昲〲㉤昰㠲㠴〴㐲㐵〲〹ㅥ㤰㜸㈸〸㠱㄰〸㐵攲㠵〷㈴昸扥㌳㌳扢㌳扢摥戱扢㙤挱㐵㍥改晥㍥㜳㙥㜳捥昹慦攷晦捦㌴㈷㜲戹摣扦㤱昸㤷㈹捦捣戵㡢敢㝥㈰敤㠹ㄹ户㕥㤷搵挰㜲ㅤ㝦㘲捡昳㡣昵㌹换て晡搰愰㔸戱㔰敦ㄷ㉡扥昵戰㉣㔵搶愴攷愳㔱㈱㤷㉢㤵㜴つ昵ㅣ㠴扦㤱昸㐱㘷慦挱㍣挰搲捣昴晣昲㠳ㄸ㜵㌱㜰㍤戹㝦散㙣搸昷昰攴攴挴攴挴㥤㜷㑤扥㘵攲挰晥戱㤹㐶㍤㘸㜸昲戰㈳ㅢ㠱㘷搴昷㡦㉤㌴㤶敢㔶昵㕤㜲㝤挹扤㈰㥤挳㜲昹挰ㅤ换挶㥤㙦㥤扣昳搰㈱昳敥扢摦㍡㠸㔷攷㑥捤㑣㉦㜸搲昴㕦愱㌱ぢ㥣昲㥤戳戲㙡㜱㙤㔲㝡㤶㜳㝥㘲㘶ㅡ晦㈵收㡦愷扢㈶ㄶ㔷愴っ昸㙡改㐹愷㉡㝤ㅤㅤ〷散㈹摦㙦搸慢摣㍣摤㍥㡡愵㔶つ㍦㈸搸㌳戲㕥搷敤㜸搴㤲㍤㡦扤慢ㅢ敢㠳昶愲㜴㝣㉢戰搶慣㘰扤㘸㉦㘱愰摡㤰㝤挶㤷愷つ攷扣㍣㘵搸戲㘰ㅦ㙢㔸戵㝣㤸㜲㝤户挴㐳㈴㈷愶㤶㍦㌱攵摢㌳㉢㠶愷㘶攴㜳㘳㌲摡ㅥ昵慡改戶㌷㜵ㅦ㤷㔳㔷㙦攰㤸㌷㜷㙦㠷㥡戳㠶搷㙣㌹摥扤㘵戴昸昴っ㙥敦摥㍥戱㐷改㍥㙦敡摥㐷㙤㘵扡戵ㄸ㠸攸㕢敤㈸ㄶ愳ㄷ〹晡〹㑡〴㐴愰㕥㈶ㄸ㈰ㄸ〴㄰昹㝦㠰㑢㤲ㅤ㔹愵㔵っ慤戲慣㔵慡㕡愵愶㔵愴㔶㌱戵捡㜹慤戲愲㔵㉣慤昲愰㔶戹㠰㌶㜱㉡昵昷㙢㔱㕡晢㤵晥㤷攷慥摢㝢昲敢㝦晥攰晤㠷摥㜹捦扥挱㕤㘸㜴㝦㌴愹㔹捦戸〸㔲㙢㔱昱挱㠹〳晣户㌹㔷㠰㈹捣㐳收㕤收攴㘴敤搰〱攳づ愳挰㘵㘵㈰㍦㐵㈸㈳㘸㍢㘸㍥㘰㌹㌵昷愲挲摤戵搳㠶㉦㕢ㅢ㌷ㅥ搵㑤扢つ愷收扦㙥攳捡挵挰〸攴㌵敤㜵慤㐱㍡扡㉤㠲慤愴慦摥㜷㝤㝢户戳㐶扤㈱愷㉥㔹㘱昵㜵㙤搵昶㠲攷㉥㜷慦㍤敡挹㠷㥡戵ㅤ㌳㥡㠲㔰㕢㔳㘳㜷慣㌲慣ち攷㌵㌶戳攲晡搲㔱搳ㅢ户ㄷ慣敡〵改㉤㑡㡡㐴㔹㔳㑢摤换慡㠸敢挷攷ㅤ㉣ㄴ摣㕡扢㌱㔹㙡摥㝢㈹〰㌳换ㅡ收扢㉡扤㘰㝤挹㔸慥换㉢㔳㑤挲㜷愲㘲㕦慡昸愸㕢㙤昸㌳慥ㄳ㜸㙥㍤㕤㌳㔵㕢㌳㈰㘹㙡㈷摤㥡捣攷㜳㑡㈸㐰攰昶昵〹㤱扢慤㍢㉦㈸㐴㈴㔰㑣㐶扥㍡㑤㜶ㄳ愷戱㍡慣愲㉥㐹㤳摡ㅢ㌶ㄹ㡣昳㔵㌲㈶㠳〳ㄳ㙢愲晥攰㑢㙦摤㘴搸㈶收㕥摤挶㥡㌶ㅡ慤晥摥㌵改〴挷つ愷㔶㤷㕥愶昶ㄳ㥣㤱㍥っ㔰戸っ㠱搰㜵昷愸敡挴㈵戱㕥戸㘸搵㠲㤵攲㡡戴捥慦〴㈸㠳㠶㉣㤵戸戵ㅤ㐹扦〲㐵晡㙥㠲㔱㠰㜲㌹㔷摣挳㐶挵㌲㔲慥㐰改㤴挱换㈹㐱捥㝥㈹㕥ㅥ㌴㡦㕡昵㐰㠶㐲㜹搸〴㐶㐲慤愶搰㌷㐴ㄲ昵㡣㙡愸㌰昶㤸㌳愰㔲挳㜲㠲昵ㄶ摦㜶㜰㐹㐸㐴㍢戲㘰摢挹〲㡡㠲戴㍣挸攰㌵㄰㑤㥢㌴挸㙥㥣㈰㈲戲㐱㠶㘶挷挸㘹㈲㘳晢っㄹ㠱昶㐹㈲㘴敢〳摤㘵〴㠹扤㤳㐸搹愹㉢㍦敥㐸戳㡤㙣昹㔰㥡敤挵挶改㔷ㄲ㕣㐵㜰㌵挱㍥〰昱㈷㐸㌸㑡㌹攴搳㐹㝦ㅤ㥥昵㙢〹慥〳㠰㝣搲㈹㜳㈲㔱㐵ㅢ㙡㉢㜶㈴摢つ挱㑥㔶㐶㜱㈸㡡㘸ㄹ㌷敤捣㈱㕢㈱㍡戲㍡户㠷慥捤㉢ㅤ晢挶敥戴㤹㕣づ㈹㌲愳㘹㜲慤㥢㌴㑤㙥〴㥢昶愸户㙥㐰㔷㝤㡣攰昵〰㘵晤㐶㐲㈸ㄷㅡ扣㕢戳攸㘹㔲扥㈶捣愲搰ㄸ敡㔱挱㐷㠴捣㈳㐰㠶㤰敢㌸扥散搸搰㌴〷挷捤搷扣つ扤扦㍢㝦㐷㐸㙦搳㥢㍢㝡㠷晥愲㤷㘸㐵摦〴昶ㄲ扦敢慡㘳㙥㐶戵晥㐶㠲㕢〰摡㜴っ㑦摦㉦搵㔳愰捣㘲㍢㠱戹摤昴扡㈸㉢㜷㘹㝤㔵㉡つ㌴㘸㉥ㄹ摥㜹ㄹ挰㠳㜱㘲ㄶ戶戰敢㜹戲㡥㐳㙤㑤ㄵ昰晣㜲㔵扡搰㍦敡戹㌶换㜷㙣㘴晦㌵愱ㄸ昲㜹慤㉦搷㘶㈳㘷搸㥡〹㥦㔳㠲㜲愸㠳敦攸㉥㈴ㄲ㥤搲攴挵㝥搹攷换ㅤ㐹搲㠳㈴㜹ㄳ戶㔵扦つ〰㔲㐲晣愶慢㐴搹捦㘶㙦㔶捤搲ㄶ㉢㍤㝣ㄹ愷㤳㌶ㅦ㘲㠷ㅣㄹ〸ㅤ戶搳昰ㅦ昸㐳昶愲㘵㌷㠵挵㠰扤㈰扤㉡㝣ぢ㔶㕤㤶㐳户㉣㐵捤㡥慣㜸㡤挸㡡扥扥㡥昳㜴㠶㝦㑤搱㐹㥢㤴挸攴昶捣捡㡣戳㜸㡢愸攸㠶愴㔰挹㜰つ㌵㈵㄰㈹㡦㙤㜷㐴㑣て㈲收㜶㙣㥣㝥㠰㘰㤲攰㈰㐰攱ㄷ㤰㌴㕢摤㜸㠶挳晡搷攸搲慥㔴㜲㈵愲㐱戹〸㕦攸㉡慣づ昱㌵㙦㈱戸ぢ愰捤晣愱〳㌲㠳㄰ㄵ捡ㄳ㠴愸挲ㄸ收㔹㑢㕥㈴つ散㌲ㄱ㔸㥡㘹昸㠱㙢㌳戲㌴㘴捥扡愷摣㘰搶昲㔷ㄱ㠹ㅡ㌵愳捣〳㉢搲〱㜵㜹戰㝤摡捡摣搵㔵㔹搳捤㐵户〱搱㜶㘲㜶㍢ㅣ捣戱ㅤ戰㈵搵搹㕣ㄳ㐸扤㥤㡦㌱㠴挰㑥㉢㝦㉢扤戱㕢昲㝥昳搰㌷摣摡搱㈵㉢愸换〱㌳㘴㍡收㑢㈶㜶ㄱ㤱㠳㕡扦戹戴攲㐹㌹㍢㘴ㅥ昳慣㕡摤㜲㈴㤱〱ㅢ㤳挱扡㌹㜹ㅥ㔱㠲〵㤷㌱㐰搷ㄹ㌲㤷㍣挳昱㔷つ〶ㄴ搷㜷愷㥥㔴㔸愴㘰㑥㕢㡥㡦搷㈸㉣㌲㍦㙣㉥慥戸ㄷㄱ戱㙤搸捥㌱㘳搵摦ㄶ㔸㈱搱㠷㐹愱㐶㘸㐲搳㐴㐹㉢昵㡡ㅦㅥ挸㜳㌹昲㕥㥥㐰攱㉡㔷愰捦㍣㐳㝢搳慥㡦㘲㌴戴搳㌹愷㐱㐴㡦㥡㠵㝤㤹㔲㤸㥣慡摦捤㍥昷〰摣㜷散捣㠹㔶㘴敥㘵挵慣ぢ昴昲㘷挸㜸㐵ㄶ捤㐰〸㝤㜴扢㐲㔲㘱ㄹ㈹〷ㅣ〸㡣昳愹㥤晣捡愶㙡㐳敡摢搵捡ㅥ㐵㈴㘹搰㥣㌳㤶㘵ㅤ昱㘸摢〸㜶㠵て㌴㘳㙤愳敥㐷㜵㌳慥㙤ㅢ㈴㉤㤲攵㘲搵㈰〵㑦㌵〲昷愴攵攸㈶㠰愲扦愸挸戸㠴㈲攳㤲㉡ㅡ㌴㑦㌳㌴愸昲ㅣ换㍤㙦㜸㔶戰㘲㕢搵ㄲㅦㄸ扥摢ㄶ㌴〹㈶愷攴㡤㔳㉣㌳挶摡慣昹㌳㌰搹晣〹愰㝢〲㜲㤴㕢㐷昴㠳㜲㌵㔱挴㍦搱愳㘳〹〲㐶㜹㑡昵户㘳戴㠲扡ㅤ〱㤱愳搲攵昸づ挶攵㐷㔱ㄲち㈱㘲㍤㠳㐴攰ㄵ㑣〸㜹扡戸㡢收ㄹ挷ち㠰㍤㘲散愸ㄵ捣晡㐰㌹〰戲敡㜸㝢㡤挲㙡愲搳㜸㔳㉢摣搰㔹㤵㔲ㄳ搷㜷搶㈷昵挶ㅢ㌶愸づ㌵㑡㐲㤱㙣搶㐸㘹㤶つ收戸㥤㔴㡤㔰㡡㍢搶㌶㈲换㙤摡摡㜷㑡㤱㤷愱㤸ㄴ捤攴昴㜷㈸㐲㐱愰㌷搲㔱昴搹㘷㤳㐷㈲㘲㐳ㅢ愰㑣㍤ㄵ㤶つ㐵㈱挱ㄳ戸㜶㔲㤳攵攸〹晣扤㉢捡捥㌷㠲㔴㡤㜱㘹㌴慡㤹慡搷攷ㅤ㔸〹㔵挳慢㙤ㄳ㤶挶摡㐲つ愳戸戳㔷敤ㅦ㙥㙦㠲ㄱ㈳㌶㘴㔸㈴挳てっ㌶〴㜳㈵㈲慡戴捥㠶戸搵捤攲ㄲ㥦㑥㑡挳㔱ㄸ㔸っ㙡戳㜲㑤㤹㘱㉤㑢㝥㔴㜵㘸㥥ㄶ㤵ㅣ搵捤愹㘵ㅦ㉡㍤愰ㅣ㡦㜲㡡挱㜵昳㌴摤㔲戸挴〰戱ㅢ攵ㄶ慡〱㐲扢捤〱㜸㌲搸㍥搸挱㡥㠴愱ㄳ㕡㘷㤴愰挵っ挲㑤㉦㠲扣搳㈳㐶㈱㐸㑤㤵晥㝥㐴㝣昱㘹愶㙦ㅥ挹挵㤹㠸㠹ㄸ敥捡戰ㅥ㠰摣㘴㘴㤲㕣㌴ㅡ〷捣㐳挹愶㠴搶㘰㕣㐶ㄳ㘳㠸㈶㥦ㄷ攰ㄶて㘳㔹挳㘴㥢㍡敥戹〵ㄶ戴㘹㝤㝤㤷㜹挲愹搶ㅢ㌵愹㔴㜱㉣慢㤵㐶摥ㄶ昸㔲㔷〰㐳㙥捡搸㤷㘸㔳㑥攰㈸挵㈵ㄳ㐹扤摢摤晡ㄱ㜴㔷㐲づ㘳㠴慡㡦〱挸っ户㥣ち㠸㜵摣㔳愰㝤戸扢㜵㠱㐱㕤㥥㠳㐸敢㈸愲㉣㥢挳㝤扣㘶ㄴ㔹㜱㕢愲搹㥣㍢攷搲㘶㑦ㄴㅤ户挲愲㙤㠱㈳慣㌳ㄴ㜸挵㈲㡣㤱ㅥ戹㠳㠳攴㉥㐷搱摤换㡦慡挷摣㘵愰㐲㘱㐰㌰挶换㔳㔰づ扢ち㐶愲挱慤戵慣㙥挱攸㉦㉤㙦㝤ち㐰㌰っ㑣㠳ㄶ㉤㐳〳㘷〶昹捤つ㥣ㅢ搰㉡㈳㐲㥡っ愶㌲㐶㌹ち㠷㍤㤰〶㙥攲㐱㝡挹㠵ㄲち昶愸㡢㘱昱摤挴㜱ㅢ㐷㈰搷扢戲慤㜰挱〸㜰晤挵搹搷㔶㍣㔵慢搱摣㠵㝦㙥㕢㘰ㄵ㔷㌷㐲㜳㜴㑦摢愵㉣戵㈶摡㜷㌷戵㔵㐴㤷〵て捥㑥ㅣ㌷㠲敡捡㘲戰ㅥ㕥摣敡㤵㈴ち㍦㠲㍦㘲挳户搳㘶捥㍢扣㠸扡挶扤㉦㕦㜰摣㡢㡥㥡㔷挱攷慤㍦㔰〸慥㔰昶㜳㤲攵摣扦昱㑦㈵㉤㔷昸㈱㐶摣捡戴㌹㐰换㐱挲㜱㔴ち愵挱ㄸ昲ㄹ㜴〲摢扤㜹㙢㠰㜴戲愷㡤㑥㤴㈰搸㈱ㄴ攷晣㉢㐶㈸攲〷㐰㉢㠹㈵㍣㤲㘳捦扦〱搶ㄷ捦愳㠴〸挷㜳㈴㐶ち慦㐷㉥〳㜵㑡㤰㐷㔷㍣㜸㈱攴晦〷㑢㌱㌷㙦挸㑥晦〵㘶ㄶ捦戵愳攸㝡愲攸晢ㅤ㈸ㄲ扣〶愲昸昷㍥㘴攲㔴㘰㜸昶㈵〵挲戹愶㥤〳攸慢㝥攱昷㝦㜸〰㥤㡢㠸㐳搹㘸〸戵摤㡣攷愶㠹搰搷㘱㈲㌰㜸慦㑣㠴㤳挸〸㐶昱㐳ㄳ㈱昲㠱捣愳㘰㜳ㄳ㠱戱扤っ㐳㌰ㄱ㙡㑤戸㌵㜸〲扢搲愶㝦散㌸㉥摥㑡ㅦ昱㝣㈸㉤㝦〶ㅥ愹慢㍡㡢ㄷっ捦戰昷愹昲㘳㥥㠴㌲昳㤶㜰㤳㕢㜵㘱㡦㙢㌶慣㔱㥤㌶昰㔵挴㕥昶ㅤ㝦捡搶敥慦〳㔳㘱ち摤昷愲㈴㡡㉦挳㔳㈲㜸㙥挸㝤㘰捦户㡥晤晥攱挷㡦昰戶㕡㐴慢㠵摢㤰敦㈵㘴㑦㝢〲㐱摤挴㐵㤱扤晣㌰攷㈴㍥㔱戲㔶敢㜲摡昰㤴ㄵ攴敢㜶㥣つ〹㉦㐱㤸㈱昱㙤〷ㄳㄳ昷ㅥ㐲ㄳ㜳愲捤摤愹㍥㙣㔲㉥挲㠹挴挴㤵㑦㉦づㅢ㡡慥㡡慣㐷㙢戳昰ㅤ愸愲㤷㌸㤱戴㤵挸㔳㈷㤳㄰摦㙥搷㜵㠷愸敢挲㠳っ挳晥戱㤴㐲晣㠱ㄴ㤲㍣挸昰㐲㠰㤲㔲愷㤱㈹摣づ㤰ㄱ㔹㙢て昱搲ㅦ戰㈳〴㘴昳搲㕦㡦ㅦ戱㘰ㄷ㠱挵搸ㄷ摦敢㠹㤶戶㘸慣㥡ㄸ慡㔵㌶捤㈲㌲敡昰挲㠲挹戸㌴㘵改ㅣ㐴改㤶摤㔱㝣挹㤰ㅤ〶摥㐲挶㉥搸昴戵㤵敤㝢㥤〶㙥㝥㐰捦ㄴ㤵挲㜰㜶戳ㄸ〷㔲ㄵ愳ぢ㥢㤶挳㈲挲攱㌰摢散㌴㄰㔵㐱㘷㌹晢㜰㉡㐵昰㡦㕦ち戱㝥扣㌵昴摥昶ㅡ敡㌸愷ㅦぢ攴て昶搷昵ㄹ㡣㡤户㤲㘳㈰㘱户搴慡ㄴ㕥て㍦㠳㉥㕣㜴㑥攸慤慣㝡ㄶ㠷昰㈷收慣㍥慤㐳晦㌳㝡慤㌸敢㉣㝢㌳㡣㥤搲晦敦㐶挱愶晡㕦㌰昶愶㄰昹㥥㈸挳㠷〲攳㈷㥢㠶㙣戸㈳昰㙣㈳㜸愳づ挶扡捡㌲攴ㅤ收ㄶ昱昱㙡㔸慤㈴㌸晣㕥昹昶慢ㄱ捤扥戴㙤〷扡ち㐰挶㠶ち摦㠰〸敡摡㍦㉤户攲搳㙤昱扤攸戸攷愴㔵昵㕣摦㌵㠳戱㐵〴㝤挷昸敤㤹〹㥢㘷㑡㝣扤㕤愸摤㠴㥤ㄸ㝣㍦晡㥣㥡㠷挰㍥㈵㠳㔷㉡ㄶ挹挸挲搶㈲ㄹ晣づ㘹㈴ㄱ㕥愲㜶昰慦㌰敦㙦ㄸ㜵㝣扡㍡て㕦㘷挰愲㙤愱散㐲㡦㜳晢つつ㙥ㅤ敥㘸扤ぢ晥㈰㔹㥦㐰㜰㑣㉤攱扤敦攷扥戶敦㐱扡㙤戴㌶㥦㉤㝢昳戹㤵ぢ捦〲愷㕢㝢㑢㥡㘴昸㑥㝥㤱㕣搶㉢㠴戸戴㝦〴㝦户敥愰攵㘸愳愰昳攸㠳㙥㍡挲挶敢㜰㥦㙤㈱晡㝤づ㕤挵ㄴ〱㝥扡ㄱ㘵昸㈰攸攵㈳㉢㡡慦㘰㔹㘴〰攴㜳挵㉡㐰㜷慡㝥㘶㈳慡ㅥ㠹〵戲攰ㄹ㠳攴㔸ㄶ㕦㐲㐳㙥㔷戸㙣戰〴㤷㉤搴㔹〲㜹㍤敥㠱㝣㑥昰㉣愱㈶昲〵㜴㘸㑥挴㐲㘹昷㠹㝣㝥愳㠹〸㕡〱㙡愱挹昱㐷㘲㉤愲搷㔱慤摢〴づ㠱ぢ㌰㑣戱㐸㔹㔳っ㐳ぢ捦ㄳ㌳㐸扦㡣晥扥㜸攴ㄷ㉦㌰晤敤㠸㔰㠲㄰㔵改挹㔳㄰慡挹㝦㍡㌹㜹て愵摤㈷晦攴㐶㤳ㅦ愱㡣攴㑣昴〰㘰愸㑦㔴昰㐷㉤愶㠱っ昷㤱㍦㜱㡥〰扦搴㉣㐶っ㤴愸扥ㄷ㤱㐱㕦㙥戸㙡㜵〹㤹戸㙦㠱敢捦昸戸㐷搹㐷扣〸㐹㕦㑥㌱㜴挶ㄶ㐳慤㔸戲㈳㉦散戶㤰つ㔸ㄲ扦㤶敤㉡搲㡢㍤㐶昸挵ㄳ㌱㘲㡥ㅦ㡦扦㥣搲愲㤸ㄳ〸㈳戴㐸㐹㍦摣㐸昱搱戸昱㜷扦搷㜲㤹愲〲〹搴ㄳ㌶㈶㥤愹挶ㅦ㠹ㅢㅦ挴㔷㔹慡㑤㡥㌷〸㤸㕥㡣ㅢ㤳ㅥ㔵攳挷攳挶㝦㍤戸慦搹㌸愶挳㜰攴〲㠹㈴挳搶㔵搶㝦攲ぢ敤㘱㌴㉦㤸搴㥦〳㘶㔸㑣挹愹㐲挷㜵愵㐱〷㜱ㄹ挴挳㌷搲㜳戸摢㠴㉢㈰㄰戲攱晦㉡攱〴敥㍣捤ㅡ㠱㠱㑦愰搷㄰㙣昶㜴昵挴捥㐵㜳摥㐳㐱扦㜹挲挷㤹慡戶慤㐸〴收㐰㍥摣摦㑤㥣昲ㄹ愶㘳㙢㍦攲㈰㤹挶㍢㈴扤㈹てㄵ㔸挹㡢て挵㤸捤㍤搶愲ㄹ晤㔱㈰〷搲ㄱ㤰ㄹ晤㌱挰㌰㄰挳摢捡戹ㄱ昲扦㘲敥て戱攲挳〴㡦〳㤴〵㤹㥤㜴㔰晣〸挰㜰晣㍦慡ㄸ㕢㔳晥ㄲ㑤㍣ㅣ扦㉣㐹㐶晡ㄳ散昰㌱㠰㍥戸㙦㐵㐴㠴㘵晤攳㈸㐹扥㤴㠲㐳扤昴ㄳ慣昸㈴挱㤳〰攵〲㈷扢攵㕤攳㥡㝡搴㕣㥦㐲㔷昱ㄸ〱㝥晡愷愳っㅦち摣㠷户㜵户㤵㜹ㄴ㡥㍦散㐷愸㌳昵〵晦扤昸㈲㝦㥤㡢敥挳晦㤰愴愰っ晢扣㜶㑦㙦㘳㤱〹㘸㤳慢摦㉡㌶晢㘵㡣挳㜵戵㈲㈸ㅣ㤱㑡愵愴ㄵ〵昱捤〵ぢㄷ㙦攰㕢づ慢ち㈱㐸〳慡挲㠹㉡㡥愰㐰晦っ㥢ㄲ挷挴㤳晥㔹㍥ㄱ戵㙡ㄳ㍦ㄷ㘵昸㈰㠸㔷搵晤挱愸㝢晣㐲攲㕡㔵㔸㙤㉦㈴晥㔵挵㑡昲㠵㑦㜳㌰㠵㉣㘴搲㕡㠹㐸㔳㌴昴㈵㘴㠶晡㠶㌹户〷昰搳㉥㠹敡戹摡戹㜳晦ㅣ捥㡦㕤㤳㝦昷㍢〷㥦㝥昱攷㝦㜸敡搷敦㍢晣攷㝦㍤昳捣慦晦昸搴ぢ晦晡搱昲攱㥦㍥晢散㑦敥晢敡ぢ㝦搸㙤㝥㑤晢摥㍦攷扥昶挸攴㠵㐷ㅥ㌲捦摣㜶散㤱昷㍣㜸晦攴挲ㄵ攳㝤㝤晤晤户㡣晥散敡㕢㐷ㅥ㝢攸㌹昱攳摦㕥攵〸戵㕣扣㈰㍤つ㉥㕢㑤攳换挸㘰ㅡ㥣昱慢㍡つ㉥㔷㙤搴㜲戴㔱搳㈸㈸挱愷挱〹愸ち㈳㕤㌱昰ㅦ㈷㤱戱摤</t>
  </si>
  <si>
    <t>㜸〱敤㕣㕢㙣ㅣ㔷ㄹ摥㌳摥㕤敦慣敤搸㡤搳㑢㑡㘹㑤㐳㈹搴挱㡤搳㠶搲㐲〸扥㌴㤷攲挴㙥散愴㈰㉥㥢昱敥㤹㜸㥡㥤ㄹ㜷㘶搶㠹㑢㐵慢搲㜲ㄱ㤷㑡摣㐴㘹㠱慡㐲㐸㐸㠸换ぢ㜷〹㈱㈱㠱㔰㤱㜸〰㈴㈴ㅥち㐲昰〰㐲㤱㜸攱〱〹扥敦捣捣敥捣慥㜷散㙥㕢㜰㤱㑦扡扦捦㥣摢㥣㜳晥敢昹晦㌳捤㠹㕣㉥昷㙦㈴晥㘵捡㌳㜳摤攲扡ㅦ㐸㝢㘲挶慤搷㘵㌵戰㕣挷㥦㤸昲㍣㘳㝤捥昲㠳㍥㌴㈸㔶㉣搴晢㠵㡡㙦㍤㈸㑢㤵㌵改昹㘸㔴挸攵㑡㈵㕤㐳㍤〷攱㙦㈴㝥搰搹㙢㌰て戰㌴㌳㍤扦㝣㍦㐶㕤っ㕣㑦敥ㅦ㍢ㅢ昶㍤㍣㌹㌹㌱㌹㜱晢ㅤ㤳㙦㥡㌸戰㝦㙣愶㔱てㅡ㥥㍣散挸㐶攰ㄹ昵晤㘳ぢ㡤攵扡㔵㝤㠷㕣㕦㜲㉦㐸攷戰㕣㍥㜰摢戲㜱晢㥢㈷㙦㍦㜴挸扣昳捥㌷て攲搵戹㔳㌳搳ぢ㥥㌴晤㤷㘸捣〲愷㝣晢慣慣㕡㕣㥢㤴㥥攵㥣㥦㤸㤹挶㝦㠹昹攳改㡥㠹挵ㄵ㈹〳扥㕡㝡搲愹㑡㕦㐷挷〱㝢捡昷ㅢ昶㉡㌷㑦户㡦㘲愹㔵挳てち昶㡣慣搷㜵㍢ㅥ戵㘴捦㘳敦敡挶晡愰扤㈸ㅤ摦ち慣㌵㉢㔸㉦摡㑢ㄸ愸㌶㘴㥦昱攵㘹挳㌹㉦㑦ㄹ戶㉣搸挷ㅡ㔶㉤ㅦ愶㕣摦捤昱㄰挹㠹愹攵㑦㑣昹昶捣㡡攱愹ㄹ昹摣㤸㡣戶㐷扤㙡扡敤扥敥攳㜲敡敡つㅣ昳愶敥敤㔰㜳搶昰㥡㉤挷扢户㡣ㄶ㥦㥥挱慤摤摢㈷昶㈸摤攷つ摤晢愸慤㑣户ㄶ〳ㄱ㝤慢ㅤ挵㘲昴㈲㐱㍦㐱㠹㠰〸搴换〴〳〴㠳〰㈲晦て㜰㐹戲㈳慢戴㡡愱㔵㤶戵㑡㔵慢搴戴㡡搴㉡愶㔶㌹慦㔵㔶戴㡡愵㔵敥搷㉡ㄷ搰㈶㑥愵晥㝥㉤㑡㈳㝦晢敤㕤摦㝣摦ㄳ㔳捦㍣㍡昸㠱ㅦ敦晢晡㜵㠳扢搰攸摥㘸㔲戳㥥㜱ㄱ愴搶愲攲㠳ㄳ〷昸㙦㜳慥〰㔳㤸㠷捣㍢捣挹挹摡愱〳挶㙤㐶㠱换捡㐰㝥㡡㔰㐶搰㜶搰扣捦㜲㙡敥㐵㠵扢敢愶つ㕦戶㌶㙥㍣慡㥢㜶ㅢ㑥捤㝦搵挶㤵㡢㠱ㄱ挸㙢摢敢㕡㠳㜴㜴㕢〴㕢㐹㕦扤敦晡昶㙥㘷㡤㝡㐳㑥㕤戲挲敡㔷户㔵摢ぢ㥥扢摣扤昶愸㈷ㅦ㘸搶㜶捣㘸ち㐲㙤㑤㡤摤戱捡戰㉡㥣搷搸捣㡡敢㑢㐷㑤㙦摣㕥戰慡ㄷ愴户㈸㈹ㄲ㘵㑤㉤昵㑡㔶㐵㕣㍦㍥敦㘰愱攰搶摡㡤挹㔲昳敥㑢〱㤸㔹搶㌰摦㔵改〵敢㑢挶㜲㕤㕥㤵㙡ㄲ扥ㄳㄵ㝢㔳挵㐷摤㙡挳㥦㜱㥤挰㜳敢改㥡愹摡㥡〱㐹㔳㍢改搶㘴㍥㥦㔳㐲〱〲户慦㑦㠸摣㉤摤㜹㐱㈱㈲㠱㘲㌲昲㌵㘹戲㥢㌸㡤搵㘱ㄵ㜵㐹㥡搴㕥扢挹㘰㥣慦㤲㌱ㄹㅣ㤸㔸ㄳ昵〷㕦晡晡㑤㠶㙤㘲敥攵㙤慣㘹愳搱敡敦㕥㤳㑥㜰摣㜰㙡㜵改㘵㙡㍦挱ㄹ改挳〰㠵换㄰〸㕤㜷㡦慡㑥㕣ㄲ敢㠵㡢㔶㉤㔸㈹慥㐸敢晣㑡㠰㌲㘸挸㔲㠹㕢摢㤱昴㉢㔰愴敦㈶ㄸ〵㈸㤷㜳挵㍤㙣㔴㉣㈳攵ち㤴㑥ㄹ扣㥣ㄲ攴散㤷攲攵㐱昳愸㔵て㘴㈸㤴㠷㑤㘰㈴搴㙡ち㝤㐳㈴㔱捦愸㠶ち㘳㡦㌹〳㉡㌵㉣㈷㔸㙦昱㙤〷㤷㠴㐴戴㈳ぢ戶㥤㉣愰㈸㐸换㠳っ㕥〳搱戴㐹㠳散挶〹㈲㈲ㅢ㘴㘸㜶㡣㥣㈶㌲戶捦㤰ㄱ㘸㥦㈴㐲戶㍥搰㕤㐶㤰搸㍢㠹㤴㥤扡昲攳㡥㌴摢挸㤶て愵搹㤵搸㌸晤㉡㠲慢〹慥㈱搸ぢ㈰晥っ〹㐷㈹㠷㝣㍡改慦挲戳㝥ㅤ挱慢〱㈰㥦㜴捡㥣㐸㔴搱㠶摡㡡ㅤ挹㜶㐳戰㤳㤵㔱ㅣ㡡㈲㕡挶㑤㍢㜳挸㔶㠸㡥慣捥敤愱㙢昳㑡挷扥慥㍢㙤㈶㤷㐳㡡捣㘸㥡㕣敢㈶㑤㤳ㅢ挱愶㍤敡慤ㅢ搰㔵ㅦ㈳㜸つ㐰㔹扦㤱㄰捡㠵〶敦搶㉣㝡㥡㤴慦〸戳㈸㌴㠶㝡㔴昰ㄱ㈱昳〸㤰㈱攴㍡㡥㉦㍢㌶㌴捤挱㜱昳ㄵ㙦㐳敦敦捥摦ㄱ搲摢昴收㡥摥愱扦攸〵㕡搱晢挰㕥攲昷㕤㜵捣㑤愸搶㕦㐷㜰㌳㐰㥢㡥攱改晢㠵㝡ち㤴㔹㙣㈷㌰户㥢㕥ㄷ㘵攵㉥慤慦㑡愵㠱〶捤㈵挳㍢㉦〳㜸㌰㑥捣挲ㄶ㜶㍤㑦搶㜱愸慤愹〲㥥㕦慥㑥ㄷ晡㐷㍤搷㘶昹㡥㡤散扦㈲ㄴ㐳㍥慦昵攵摡㙣攴っ㕢㌳攱㜳㑡㔰づ㜵昰㙤摤㠵㐴愲㔳㥡扣搸㉦晢㝣戹㈳㐹㝡㤰㈴㙦挰戶敡户〰㐰㑡㠸摦㜴㤵㈸晢搹散㡤慡㔹摡㘲愵㠷㉦攳㜴搲收㐳散㤰㈳〳愱挳㜶ㅡ晥〳㝦挸㕥戴散愶戰ㄸ戰ㄷ愴㔷㠵㙦挱慡换㜲攸㤶愵愸搹㤱ㄵ慦㄰㔹搱搷搷㜱㥥捥昰慦㈹㍡㘹㤳ㄲ㤹摣㥥㔹㤹㜱ㄶ㙦ㄱㄵ摤㤰ㄴ㉡ㄹ慥愱愶〴㈲攵戱敤㡥㠸改㐱挴摣㡡㡤搳て㄰㑣ㄲㅣ〴㈸晣ㄲ㤲㘶慢ㅢ捦㜰㔸晦ㅡ㕤摡㤵㑡慥㐴㌴㈸ㄷ攱㜳㕤㠵搵㈱扥收㑤〴㜷〰戴㤹㍦㜴㐰㘶㄰愲㐲㜹㠲㄰㔵ㄸ挳㍣㙢挹㡢愴㠱㕤㈶〲㑢㌳つ㍦㜰㙤㐶㤶㠶捣㔹昷㤴ㅢ捣㕡晥㉡㈲㔱愳㘶㤴戹㙦㐵㍡愰㉥て戶㑦㕢㤹扢扡㉡㙢扡戹攸㌶㈰摡㑥捣㙥㠷㠳㌹戶〳戶愴㍡㥢㙢〲愹户昳㌱㠶㄰搸㘹攵㙦愵㌷㜶㑢摥㙦ㅥ晡㠶㕢㍢扡㘴〵㜵㌹㘰㠶㑣挷㝣挹挴㉥㈲㜲㔰敢㌷㤷㔶㍣㈹㘷㠷捣㘳㥥㔵慢㕢㡥㈴㌲㘰㘳㌲㔸㌷㈷捦㈳㑡戰攰㌲〶攸㍡㐳收㤲㘷㌸晥慡挱㠰攲晡敥搴㤳ち㡢ㄴ捣㘹换昱昱ㅡ㠵㐵收㠷捤挵ㄵ昷㈲㈲戶つ摢㌹㘶慣晡摢〲㉢㈴晡㌰㈹搴〸㑤㘸㥡㈸㘹愵㕥昱挳〳㜹㉥㐷摥换ㄳ㈸㕣攵ち昴㤹㘷㘸㙦摡昵㔱㡣㠶㜶㍡攷㌴㠸攸㔱戳戰㉦㔳ち㤳㔳昵㍢搹攷㉥㠰㝢㡥㥤㌹搱㡡捣扤愸㤸㜵㠱㕥晥っㄹ慦挸愲ㄹ〸愱㡦㙥㔷㐸㉡㉣㈳攵㠰〳㠱㜱㍥戵㤳㕦搹㔴㙤㐸㝤扢㕡搹愳㠸㈴つ㥡㜳挶戲慣㈳ㅥ㙤ㅢ挱慥昰㠱㘶慣㙤搴晤愸㙥挶戵㙤㠳愴㐵戲㕣慣ㅡ愴攰愹㐶攰㥥戴ㅣ摤〴㔰昴ㄷㄵㄹ㤷㔰㘴㕣㔲㐵㠳收㘹㠶〶㔵㥥㘳戹攷つ捦ち㔶㙣慢㕡攲〳挳㜷摢㠲㈶挱攴㤴扣㜱㡡㘵挶㔸㥢㌵㝦〶㈶㥢㍦〱㜴㑦㐰㡥㜲敢㠸㝥㔰慥㈶㡡昸㈷㝡㜴㉣㐱挰㈸㑦愹晥㔶㡣㔶㔰户㈳㈰㜲㔴扡ㅣ摦挱戸晣㌰㑡㐲㈱㐴慣㘷㤰〸扣㠲〹㈱㑦ㄷ㜷搱㍣攳㔸〱戰㐷㡣ㅤ戵㠲㔹ㅦ㈸〷㐰㔶ㅤ㙦慦㔵㔸㑤㜴ㅡ㙦㙡㠵ㅢ㍡慢㔲㙡攲晡捥晡愴摥㜸敤〶搵愱㐶㐹㈸㤲捤ㅡ㈹捤戲挱ㅣ户㤳慡ㄱ㑡㜱挷摡㐶㘴戹㑤㕢晢㑥㈹昲㈲ㄴ㤳愲㤹㥣晥㌶㐵㈸〸昴㐶㍡㡡㍥晢㙣昲㐸㐴㙣㘸〳㤴愹愷挲戲愱㈸㈴㜸〲搷㑥㙡戲ㅣ㍤㠱扦㜷㐵搹昹㐶㤰慡㌱㉥㡤㐶㌵㔳昵晡扣〳㉢愱㙡㜸戵㙤挲搲㔸㕢愸㘱ㄴ㜷昶慡晤挳敤㑤㌰㘲挴㠶っ㡢㘴昸㠱挱㠶㘰慥㐴㐴㤵搶搹㄰户扡㔹㕣攲搳㐹㘹㌸ち〳㡢㐱㙤㔶慥㈹㌳慣㘵挹㡦慡づ捤搳愲㤲愳扡㌹戵散㐳愵〷㤴攳㔱㑥㌱戸㙥㥥愶㕢ち㤷ㄸ㈰㜶愳摣㐲㌵㐰㘸户㌹〰㑦〶摢〷㍢搸㤱㌰㜴㐲敢㡣ㄲ戴㤸㐱戸改㐵㤰㜷㝡挴㈸〴愹愹搲摦㡦㠸㉦㍣挹昴戵㈳戹㌸ㄳ㌱ㄱ挳㕤ㄹ搶〳㤰㥢㡣㑣㤲㡢㐶攳㠰㜹㈸搹㤴搰ㅡ㡣换㘸㘲っ搱攴昳〲摣攲㘱㉣㙢㤸㙣㔳挷㍤户挰㠲㌶慤慦敦㌲㑦㌸搵㝡愳㈶㤵㉡㡥㘵戵搲挸摢〲㕦敡ち㘰挸㑤ㄹ晢ㄲ㙤捡〹ㅣ愵戸㘴㈲愹㜷扢㕢㍦㠲敥㑡挸㘱㡣㔰昵㌱〰㤹攱㤶㔳〱戱㡥㝢ち戴て㜷户㉥㌰愸换㜳㄰㘹ㅤ㐵㤴㘵㜳戸㡦搷㡣㈲㉢㙥㑢㌴㥢㜳攷㕣摡散㠹愲攳㔶㔸戴㉤㜰㠴㜵㠶〲慦㔸㠴㌱搲㈳㜷㜰㤰摣攵㈸扡㝢昹㘱昵㤸扢っ㔴㈸っ〸挶㜸㜹ち捡㘱㔷挱㐸㌴戸戵㤶搵㉤ㄸ晤愵攵慤㑦〱〸㠶㠱㘹搰愲㘵㘸攰捣㈰扦戹㠱㜳〳㕡㘵㐴㐸㤳挱㔴挶㈸㐷攱戰〷搲挰㑤㍣㐸㉦戹㔰㐲挱ㅥ㜵㌱㉣扥㥢㌸㙥攳〸攴㝡㔷戵ㄵ㉥ㄸ〱慥扦㌸㝢摢㡡愷㙡㌵㥡扢昰捦㙤ぢ慣攲敡㐶㘸㡥敥㘹扢㤴愵搶㐴晢㙥㕦㕢㐵㜴㔹昰攰散挴㜱㈳愸慥㉣〶敢攱挵慤㕥㐹愲昰㈳昸㈳㌶㝣㍢㙤收扣挳㡢愸㙢摣晢昲〵挷扤攸愸㜹ㄵ㝣摥晡〳㠵攰ち㘵㍦㈷㔹捥晤ㅢ晦㔴搲㜲㠵ㅦ㘲挴慤㑣㥢〳戴ㅣ㈴ㅣ㐷愵㔰ㅡ㡣㈱㥦㐱㈷戰摤㥢户〶㐸㈷㝢摡攸㐴〹㠲ㅤ㐲㜱捥扦㘴㠴㈲㝥〰戴㤲㔸挲㈳㌹昶晣慢㘰㝤昱㝤㤴㄰攱㜸㡥挴㐸攱㌵挸㘵愰㑥〹昲攸㡡〷㉦㠴晣晦㘰㈹收收つ搹改扦挰捣攲㝢敤㈸扡㥥㈸晡㙥〷㡡〴慦㠱㈸晥扤〷㤹㌸ㄵㄸ㥥㝤㐱㠱㜰慥㘹攷〰晡戲㕦昸晤ㅦㅥ㐰攷㈲攲㔰㌶ㅡ㐲㙤㌷攱戹㘹㈲昴㜵㤸〸っ摥㉢ㄳ攱㈴㌲㠲㔱晣搰㐴㠸㝣㈰昳㈸搸摣㐴㘰㙣㉦挳㄰㑣㠴㕡ㄳ㙥つ㥥挰慥戲改ㅦ㍢㡥㡢户搲㐷㍣ㅦ㑡换㥦㠱㐷敡敡捥攲〵挳㌳散扤慡晣㤸㈷愱捣扣㈵摣攴㔶㕤搸攳摡つ㙢㔴愷つ㝣ㄵ戱㤷㝤挷㥦戲戵晢敢挰㔴㤸㐲昷扤㈸㠹攲㡢昰㤴〸㥥ㅢ㜲敦摦昳㡤㘳㝦㜸昰戱㈳扣慤ㄶ搱㙡攱ㄶ攴㝢〹搹搳㥥㐰㔰㌷㜱㔱攴㑡㝥㤸㜳ㄲ㥦㈸㔹慢㜵㌹㙤㜸捡ち昲㜵㍢捥㠶㠴㤷㈰捣㤰昸戶㠳㠹㠹㝢て愱㠹㌹搱收敥㔴ㅦ㌶㈹ㄷ攱㐴㘲攲捡愷ㄷ㠷つ㐵㔷㐵搶愳戵㔹昸ㄶ㔴搱ぢ㥣㐸摡㑡攴愹㤳㐹㠸㙦戶敢扡㐳搴㜵攱㐱㠶㘱晦㔸㑡㈱晥㐰ち㐹ㅥ㘴㜸㈱㐰㐹愹搳挸ㄴ㙥〵挸㠸慣戵㠷㜸改て搸ㄱ〲戲㜹改慦挷㡦㔸戰㡢挰㘲散㡢敦昵㐴㑢㕢㌴㔶㑤っ搵㉡㥢㘶ㄱㄹ㜵㜸㘱挱㘴㕣㥡戲㜴づ愲㜴换敥㈸扥㘴挸づ〳㙦㈱㘳ㄷ㙣晡摡捡昶摤㑥〳㌷㍦愰㘷㡡㑡㘱㌸扢㔹㡣〳愹㡡搱㠵㑤换㘱ㄱ攱㜰㤸㙤㜶ㅡ㠸慡愰戳㥣扤㌸㤵㈲昸挷㉦㠵㔸㍦摥ㅡ晡捡昶ㅡ敡㌸愷ㅦぢ攴て昶搷昵ㄹ㡣㡤户㤲㘳㈰㘱户搴慡ㄴ㕥て㍦㠳㉥㕣㜴㑥攸慤慣㝡ㄶ㠷昰㈷收慣㍥慤㐳晦㌳㝡慤㌸敢㉣㝢㌳㡣㥤搲晦敦㐴挱愶晡㕦㌰昶愶㄰昹慥㈸挳㠷〲攳㈷㥢㠶㙣戸㈳昰㙣㈳㜸愳づ挶扡捡㌲攴ㅤ收ㄶ昱昱㙡㔸慤㈴㌸晣㕥昹昶慢ㄱ捤扥戴㙤〷扡ち㐰挶㠶ち㕦㠵〸敡摡㍦㉤户攲搳㙤昱摤攸戸攷愴㔵昵㕣摦㌵㠳戱㐵〴㝤挷昸敤㤹〹㥢㘷㑡㝣愵㕤愸敤挳㑥っ扥ㄷ㝤㑥捤㐳㘰㥦㤲挱㑢ㄵ㡢㘴㘴㘱㙢㤱っ㝥㠷㌴㤲〸㉦㔱㍢昸㔷㤸昷㌶㡣㍡㍥㕤㥤㠷慦㌳㘰搱戶㔰㜶愱挷戹晤㠶〶户づ㜷戴摥〱㝦㤰慣㑦㈰㌸愶㤶昰敥昷㜲㕦摢昷㈰摤㌶㕡㥢捦㤶扤昹摣捡㠵㘷㠱搳慤扤㈵㑤㌲㝣㈷扦㐸㉥敢ㄵ㐲㕣摡㍦㠲扦㕢㜷搰㜲戴㔱搰㜹昴㐱㌷ㅤ㘱攳㜵戸捦戶㄰晤㍥㠷慥㘲㡡〰㍦摤㠸㌲㝣㄰昴昲㤱ㄵ挵㤷戰㉣㌲〰昲戹㘲ㄵ愰㍢㔵㍦扤ㄱ㔵㡦挴〲㔹昰㡣㐱㜲㉣㡢愷搰㤰摢ㄵ㉥ㅢ㉣挱㘵ぢ㜵㤶㐰㕥㡦㝢㈰㥦ㄳ㍣㑢愸㠹㝣ㅥㅤ㥡ㄳ戱㔰摡㝤㈲㥦摢㘸㈲㠲㔶㠰㕡㘸㜲晣㤱㔸㡢攸㜵㔴敢㌶㠱㐳攰〲っ㔳㉣㔲搶ㄴ挳搰挲昷㠹ㄹ愴㕦㐵㝦㥦㍦昲换攷㤸晥㜶㐴㈸㐱㠸慡昴攴㈹〸搵攴㥦㐸㑥摥㐳㘹昷挹㝦㘲愳挹㡦㔰㐶㜲㈶㝡〰㌰搴㈷㉡昸愳ㄶ搳㐰㠶晢挸㥦㌸㐷㠰㕦㙡ㄶ㈳〶㑡㔴摦㡢挸愰㉦㌷㕣戵扡㠴㑣摣户挰昵㘷㝣摣愳散㈳㕥㠴愴㉦愷ㄸ㍡㘳㡢愱㔶㉣搹㤱ㄷ㜶㕢挸〶㉣㠹㕦换㜶ㄵ改挵ㅥ㈳晣攲挳㌱㘲㡥ㅦ㡦扦㥣搲愲㤸ㄳ〸㈳戴㐸㐹㍦摣㐸昱愱戸昱户扦搳㜲㤹愲〲〹搴ㄳ㌶㈶㥤愹挶㡦挷㡤て攲慢㉣搵㈶挷ㅢ〴㑣捦挷㡤㐹㡦慡昱㘳㜱攳扦ㅥ摣摢㙣ㅣ搳㘱㌸㜲㠱㐴㤲㘱敢㉡敢㍦昱㠵昶㌰㥡ㄷ㑣敡捦〱㌳㉣愶攴㔴愱攳扡搲愰㠳戸っ攲攱ㅢ改㌹摣㙤挲ㄵ㄰〸搹昰㝦㤵㜰〲㜷㥥㘶㡤挰挰㈷搰㙢〸㌶㝢扡㝡㘲攷愲㌹敦愱愰摦㍣攱攳㑣㔵摢㔶㈴〲㜳㈰ㅦ敥敦㈶㑥昹っ搳戱戵ㅦ㜱㤰㑣攳ㅤ㤲摥㤴㠷ち慣攴挵愳㌱㘶㜳㡦戴㘸㐶㝦ㄸ挸㠱㜴〴㘴㐶㝦〴㌰っ挴昰戶㜲㙥㠴晣慦㤸晢㔱㔶㝣㤰攰㌱㠰戲㈰戳㤳づ㡡㡦〳っ挷晦愳㡡戱㌵攵㉦搱挴㠳昱换㤲㘴愴㝦㤸ㅤ㍥〲搰〷昷慤㠸㠸戰慣㝦ㄴ㈵挹㤷㔲㜰愸㤷㝥㡣ㄵㅦ㈷昸〴㐰戹挰挹㙥㜹搷戸愶ㅥ㌵搷㈷搱㔵㍣㐲㠰㥦晥㐴㤴攱㐳㠱晢昰㤶敥戶㌲㡦挲昱㠷晤〸㜵愶扥攰扦ㅢ㕦攴慦㜳搱㝤昸ㅦ㤲ㄴ㤴㘱㥦搷敥敡㙤㉣㌲〱㙤㜲昵㕢挵㘶扦㠸㜱戸慥㔶〴㠵㈳㔲愹㤴戴愲㈰扥戹㘰攱攲つ㝣换㘱㔵㈱〴㘹㐰㔵㌸㔱挵ㄱㄴ攸㥦㘶㔳攲㤸㜸搲㍦挳㈷愲㔶㙤攲㘷愳っㅦ〴昱慡扡摦ㅦ㜵㡦㕦㐸㕣慢ち慢敤㠵挴扦慡㔸㐹扥昰㐹づ愶㤰㠵㑣㕡㉢ㄱ㘹㡡㠶㥥㐲㘶愸㙦㤸㜳扢て㍦敤㤲愸㥥慢㥤㍢昷捦攱晣搸戵昹㜷扥㝤昰挹攷㝦昱挷㑦晤晡㍤㠷晦昲慦愷㥦晥昵㥦㍥昵摣扦㝥戴㝣昸㘷捦㍥晢搳㝢扥晣摣ㅦ㜷㥢捦㘸摦昹攷摣㌳て㑤㕥㜸攸〱昳捣㉤挷ㅥ㝡搷晤昷㑥㉥㕣㌱摥搷搷摦㝦昳攸捦慦㜹晤挸㈳て㝣㑦晣攴㜷㔷㍢㐲㉤ㄷ㉦㐸㑦㠳换㔶搳昸㈲㌲㤸〶㘷晣戲㑥㠳换㔵ㅢ戵ㅣ㙤搴㌴ち㑡昰㘹㜰〲慡挲㐸㔷っ晣〷㑦摡戲㡡</t>
  </si>
  <si>
    <t>㜸〱敤㕣㕢㙣ㅣ㔷ㄹ摥㌳摥㕤敦慣敤搸㡤搳㑢㑡㘹つ愵ㄴ敡攰挶㘹㐳㈹㄰㠲㉦捤愵㜵㘲㌷㜶㔲㔰㐱㥢昱敥㤹㜸㥡㥤ㄹ㜷㘶搶㠹㐳愵㔶搰㜲ㄱ㤴㡡慢㈸ㄴ愸㉡㠴攰㠵换㑢㈹㤷ㄷ㈴㈴㄰㉡ㄲて昰㠰㠴㔰愹㄰㍣㠰㔰㈴㕥㜸㐰㠲敦㍢㌳戳㍢戳敢ㅤ扢摢ㄶ㕣攴㤳敥敦㌳攷㌶攷㥣晦㝡晥晦㑣㜳㈲㤷换晤ㅢ㠹㝦㤹昲捣㕣户戸敥〷搲㥥㤸㜱敢㜵㔹つ㉣搷昱㈷愶㍣捦㔸㥦戳晣愰てつ㡡ㄵぢ昵㝥愱攲㕢㤷㘴愹戲㈶㍤ㅦ㡤ち戹㕣愹愴㙢愸攷㈰晣㡤挴て㍡㝢つ收〱㤶㘶愶攷㤷ㅦ挰愸㡢㠱敢挹㝤㘳㘷挲扥㠷㈶㈷㈷㈶㈷㙥扦㘳昲敤ㄳ晢昷㡤捤㌴敡㐱挳㤳㠷ㅣ搹〸㍣愳扥㙦㙣愱戱㕣户慡昷挸昵㈵昷扣㜴づ挹攵晤户㉤ㅢ户扦㘳昲昶㠳〷捤㍢敦㝣挷㈰㕥㥤㍢㌹㌳扤攰㐹搳㝦㠵挶㉣㜰捡户捦捡慡挵戵㐹改㔹捥戹㠹㤹㘹晣㤷㤸㍦㥥敥㤸㔸㕣㤱㌲攰慢愵㈷㥤慡昴㜵㜴ㅣ戰愷㝣扦㘱慦㜲昳㜴晢〸㤶㕡㌵晣愰㘰捦挸㝡㕤户攳㔱㑢昶㍣昶慥㙥慣て摡㡢搲昱慤挰㕡戳㠲昵愲扤㠴㠱㙡㐳昶㘹㕦㥥㌲㥣㜳昲愴㘱换㠲㝤戴㘱搵昲㘱捡昵摤ㅣて㤱㥣㤸㕡晥挴㤴㙦捦慣ㄸ㥥㥡㤱捦㡤挹㘸㝢挴慢愶摢摥搸㝤㕣㑥㕤扤㠱㘳摥搴扤ㅤ㙡捥ㄸ㕥戳攵㜸昷㤶搱攲搳㌳戸戵㝢晢挴ㅥ愵晢扣戵㝢ㅦ戵㤵改搶㘲㈰愲㙦戵愳㔸㡣㕥㈴攸㈷㈸ㄱ㄰㠱㝡㤹㘰㠰㘰㄰㐰攴晦〱㉥㐹㜶㘴㤵㔶㌱戴捡戲㔶愹㙡㤵㥡㔶㤱㕡挵搴㉡攷戴捡㡡㔶戱戴捡〳㕡攵㍣摡挴愹搴摦慦㐵改㐹昷晥㙦㕤扡攷挵昷㍥㝤昰㐳㝦挸㕦晡摡㘷〶㜷愱搱扤搱愴㘶㍤攳〲㐸慤㐵挵〷㈶昶昳摦收㕣〱愶㌰て㥡㜷㤸㤳㤳戵㠳晢㡤摢㡣〲㤷㤵㠱晣ㄴ愱㡣愰敤愰㜹㥦攵搴摣ぢち㜷搷㑤ㅢ扥㙣㙤摣㜸㔴㌷敤㌶㥣㥡晦扡㡤㉢ㄷ〳㈳㤰搷戶搷戵〶改攸戶〸戶㤲扥㝡摦昵敤摤捥ㄸ昵㠶㥣扡㘸㠵搵慦㙦慢戶ㄷ㍣㜷戹㝢敤ㄱ㑦㍥搸慣敤㤸搱ㄴ㠴摡㥡ㅡ扢㘳㤵㘱㔵㌸慦戱㤹ㄵ搷㤷㡥㥡摥戸扤㘰㔵捦㑢㙦㔱㔲㈴捡㥡㕡敡㤵慣㡡戸㝥㝣摥挱㐲挱慤戵㌷㈶㑢捤扢㉥〶㘰㘶㔹挳㝣㔷愵ㄷ慣㉦ㄹ换㜵㜹㔵慡㐹昸㑥㔴散㑤ㄵㅦ㜱慢つ㝦挶㜵〲捦慤愷㙢愶㙡㙢〶㈴㑤敤㠴㕢㤳昹㝣㑥〹〵〸摣扥㍥㈱㜲户㜴攷〵㠵㠸〴㡡挹挸搷愴挹㙥攲ㄴ㔶㠷㔵搴㈵㘹㔲㝢搳㈶㠳㜱扥㑡挶㘴㜰㘰㘲㑤搴ㅦ㝣改㕢㌶ㄹ戶㠹戹㔷户戱愶㡤㐶慢扦㙢㑤㍡挱㌱挳愹搵愵㤷愹晤〴㘷愴て〳ㄴ㉥㐳㈰㜴摤㍤慡㍡㜱㔱慣ㄷ㉥㔸戵㘰愵戸㈲慤㜳㉢〱捡愰㈱㑢㈵㙥㙤㐷搲慦㐰㤱扥㥢㘰ㄴ愰㕣捥ㄵ昷戰㔱戱㡣㤴㉢㔰㍡㘵昰㜲㑡㤰戳㕦㡡㤷〷捤㈳㔶㍤㤰愱㔰ㅥ㌶㠱㤱㔰慢㈹昴つ㤱㐴㍤愳ㅡ㉡㡣㍤收っ愸搴戰㥣㘰扤挵户ㅤ㕣ㄲㄲ搱㡥㉣搸㜶戲㠰愲㈰㉤て㌲㜸つ㐴搳㈶つ戲ㅢ㈷㠸㠸㙣㤰愱搹㌱㜲㥡挸搸㍥㐳㐶愰㝤㤲〸搹㝡㝦㜷ㄹ㐱㘲敦㈴㔲㜶敡捡㡦㍢搲㙣㈳㕢㍥㤴㘶㔷㘲攳昴慢〸慥㈶戸㠶㘰㉦㠰昸㌳㈴ㅣ愵ㅣ昲改愴扦づ捦晡㜵〴慦〷㠰㝣搲㈹㜳㈲㔱㐵ㅢ㙡㉢㜶㈴摢つ挱㑥㔶㐶㜱㈸㡡㘸ㄹ㌷敤捣㈱㕢㈱㍡戲㍡户㠷慥捤㉢ㅤ晢收敥戴㤹㕣づ㈹㌲愳㘹㜲慤㥢㌴㑤㙥〴㥢昶愸户㙥㐰㔷㝤㡣攰つ〰㘵晤㡤㠴㔰㉥㌴㜸户㘶搱搳愴㝣㑤㤸㐵愱㌱搴愳㠲㡦〸㤹㐷㠰っ㈱搷㜱㝣搹戱愱㘹づ㡥㥢慦㜹ㅢ㝡㕦㜷晥㡥㤰摥愶㌷㜷昴づ晤㐵㉦搱㡡扥ㄱ散㈵㝥摦㔵挷摣㠴㙡晤捤〴㌷〳戴改ㄸ㥥扥㕦慡愷㐰㤹挵㜶〲㜳扢改㜵㔱㔶敥搲晡慡㔴ㅡ㘸搰㕣㌲扣㜳㌲㠰〷攳昸㉣㙣㘱搷昳㘴ㅤ㠷摡㥡㉡攰昹攵敡㜴愱㝦挴㜳㙤㤶敦搸挸晥㙢㐲㌱攴昳㕡㕦慥捤㐶捥戰㌵ㄳ㍥愷〴攵㔰〷摦搶㕤㐸㈴㍡愵挹㡢晤戲捦㤷㍢㤲愴〷㐹昲㔶㙣慢㝥ぢ〰愴㠴昸㙤㔷㠹戲㡦捤摥愶㥡愵㉤㔶㝡昸㌲㑥㈷㙤㍥挴づ㌹㌲㄰㍡㙣愷攱㍦昰㠷散㐵换㙥ち㡢〱㝢㐱㝡㔵昸ㄶ慣扡㉣㠷㙥㔹㡡㥡ㅤ㔹昱ㅡ㤱ㄵ㝤㝤ㅤ攷改っ晦㥡愲㤳㌶㈹㤱挹敤㤹㤵ㄹ㘷昱ㄶ㔱搱つ㐹愱㤲攱ㅡ㙡㑡㈰㔲ㅥ摢敥㠸㤸ㅥ㐴捣慤搸㌸㝤㍦挱㈴挱〱㠰挲慦㈰㘹戶扡昱っ㠷昵慦搱愵㕤愹攴㑡㐴㠳㜲ㄱ㍥摦㔵㔸ㅤ攴㙢摥㑥㜰〷㐰㥢昹㐳〷㘴〶㈱㉡㤴㈷〸㔱㠵㌱捣㌳㤶扣㐰ㅡ搸㘵㈲戰㌴搳昰〳搷㘶㘴㘹挸㥣㜵㑦扡挱慣攵慦㈲ㄲ㌵㙡㐶㤹晢㔶愴〳敡昲㘰晢戴㤵戹慢慢戲愶㥢㡢㙥〳愲敤昸散㜶㌸㤸㘳㍢㘰㑢慡戳戹㈶㤰㝡㍢ㅦ㘳〸㠱㥤㔶晥㔶㝡㘳户攴晤收愱㙦戸戵愳㑢㔶㔰㤷〳㘶挸㜴捣㤷㑣散㈲㈲〷戵㝥㜳㘹挵㤳㜲㜶挸㍣敡㔹戵扡攵㐸㈲〳㌶㈶㠳㜵㜳昲ㅣ愲〴ぢ㉥㘳㠰慥㌳㘴㉥㜹㠶攳慦ㅡっ㈸慥敦㑥㍤愹戰㐸挱㥣戶ㅣㅦ慦㔱㔸㘴㝥搸㕣㕣㜱㉦㈰㘲摢戰㥤愳挶慡扦㉤戰㐲愲て㤳㐲㡤搰㠴愶㠹㤲㔶敡ㄵ㍦㍣㤰攷㜲攴扤㍣㠱挲㔵慥㐰㥦㜹㠶昶愶㕤ㅦ挵㘸㘸愷㜳㑥㠳㠸ㅥ㌵ぢ晢㌲愵㌰㌹㔵扦㤳㝤摥〹㜰昷搱搳挷㕢㤱戹㤷ㄵ戳㉥搰换㥦㈱攳ㄵ㔹㌴〳㈱昴搱敤ち㐹㠵㘵愴ㅣ㜰㈰㌰捥愷㜶昲㉢㥢慡つ愹㙦㔷㉢㝢〴㤱愴㐱㜳捥㔸㤶㜵挴愳㙤㈳搸ㄵ㍥搰㡣戵㡤扡ㅦ搵捤戸戶㙤㤰戴㐸㤶㡢㔵㠳ㄴ㍣搵〸摣ㄳ㤶愳㥢〰㡡晥愲㈲攳㈲㡡㡣㡢慡㘸搰㍣挵搰愰捡㜳㉣昷㥣攱㔹挱㡡㙤㔵㑢㝣㘰昸㙥㕢搰㈴㤸㥣㤲㌷㑥戱捣ㄸ㙢戳收㑦挳㘴昳㈷㠰敥〹挸㔱㙥ㅤ搱て捡搵㐴ㄱ晦㐴㡦㡥㈵〸ㄸ攵㈹搵摦㡤搱ち敡㜶〴㐴㡥㑡㤷攳㍢ㄸ㤷ㅦ㐶㐹㈸㠴㠸昵っㄲ㠱㔷㌰㈱攴改攲㉥㥡愷ㅤ㉢〰昶㠸戱㈳㔶㌰敢〳攵〰挸慡攳敤戵ち慢㠹㑥攳㑤慤㜰㐳㘷㔵㑡㑤㕣摦㔹㥦搴ㅢ㙦摡愰㍡搴㈸〹㐵戲㔹㈳愵㔹㌶㤸攳㜶㔲㌵㐲㈹敥㔸摢㠸㉣户㘹㙢摦㈹㐵㕥㠶㘲㔲㌴㤳搳摦愳〸〵㠱摥㐸㐷搱㘷㥦㑤ㅥ㠹㠸つ㙤㠰㌲昵㔴㔸㌶ㄴ㠵〴㡦攳摡㐹㑤㤶愳㈷昰昷慥㈸㍢摦〸㔲㌵挶挵搱愸㘶慡㕥㥦㜷㘰㈵㔴つ慦戶㑤㔸ㅡ㙢ぢ㌵㡣攲捥㕥戵㝦戸扤〹㐶㡣搸㤰㘱㤱っ㍦㌰搸㄰捣㤵㠸愸搲㍡ㅢ攲㔶㌷㡢㑢㝣㍡㈱つ㐷㘱㘰㌱愸捤捡㌵㘵㠶戵㉣昹㔱搵愱㜹㕡㔴㜲㔴㌷愷㤶㝤愸昴㠰㜲㍣捡㈹〶搷捤㔳㜴㑢攱ㄲ〳挴㙥㤴㕢愸〶〸敤㌶〷攰挹㘰晢㘰〷㍢ㄲ㠶㑥㘸㥤㔱㠲ㄶ㌳〸㌷扤〸昲㑥㡦ㄸ㠵㈰㌵㔵晡晢㘱昱攵㈷㤹扥㝤㌸ㄷ㘷㈲㈶㘲戸㉢挳㝡〰㜲㤳㤱㐹㜲搱㘸ㅣ㌰て㈵㥢ㄲ㕡㠳㜱ㄹ㑤㡣㈱㥡㝣㕥㠰㕢㍣㡣㘵つ㤳㙤敡戸攷ㄶ㔸搰愶昵昵㕤收㜱愷㕡㙦搴愴㔲挵戱慣㔶ㅡ㜹㕢攰㑢㕤〱っ戹㈹㘳㕦愲㑤㌹㡥愳ㄴ㤷㑣㈴昵㙥㜷敢㠷搱㕤〹㌹㡣ㄱ慡㍥〶㈰㌳摣㜲㉡㈰搶㜱㑦㠱昶攱敥搶〵〶㜵㜹づ㈲慤愳㠸戲㙣づ昷昱㥡㔱㘴挵㙤㠹㘶㜳敥㥣㑢㥢㍤㔱㜴捣ち㡢戶〵㡥戰捥㔰攰ㄵ㡢㌰㐶㝡攴づづ㤲扢ㅣ㐵㜷㉦㍦慣ㅥ㜳㤷㠱ち㠵〱挱ㄸ㉦㑦㐱㌹散㉡ㄸ㠹〶户搶戲扡〵愳扦戴扣昵㈹〰挱㌰㌰つ㕡戴っつ㥣ㄹ攴㌷㌷㜰㙥㐰慢㡣〸㘹㌲㤸捡ㄸ攵㈸ㅣ昶㐰ㅡ戸㠹〷改㈵ㄷ㑡㈸搸愳㉥㠶挵㜷ㄳ挷㙤ㅣ㠱㕣敦慡戶挲〵㈳挰昵ㄷ㘷㙦㕢昱㔴慤㐶㜳ㄷ晥戹㙤㠱㔵㕣摤〸捤搱㍤㙤㤷戲搴㥡㘸摦摤搸㔶ㄱ㕤ㄶ㍣㌰㍢㜱捣〸慡㉢㡢挱㝡㜸㜱慢㔷㤲㈸晣〴晥㠸つ摦㑥㥢㌹敦昰㈲敡ㅡ昷扥㝣摥㜱㉦㌸㙡㕥〵㥦户晥㐰㈱戸㐲搹捦㐹㤶㜳晦挶㍦㤵戴㕣攱挷ㄸ㜱㉢搳收〰㉤〷〹挷㔱㈹㤴〶㘳挸㘷搰〹㙣昷收慤〱搲挹㥥㌶㍡㔱㠲㘰㠷㔰㥣㜳慦ㄸ愱㠸ㅦ〱慤㈴㤶昰㐸㡥㍤晦㈶㔸㕦晣㄰㈵㐴㌸㥥㈳㌱㔲㜸〳㜲ㄹ愸㔳㠲㍣扡攲挱ぢ㈱晦㍦㔸㡡戹㜹㐳㜶晡㉦㌰戳㜸慥ㅤ㐵搷ㄳ㐵㍦攸㐰㤱攰㌵㄰挵扦㜷㈳ㄳ愷〲挳戳㉦㈹㄰捥㌵敤ㅣ㐰㕦昵ぢ扦晦挳〳攸㕣㐴ㅣ捡㐶㐳愸敤㈶㍣㌷㑤㠴扥づㄳ㠱挱㝢㘵㈲㥣㐰㐶㌰㡡ㅦ㥡〸㤱て㘴ㅥ〵㥢㥢〸㡣敤㘵ㄸ㠲㠹㔰㙢挲慤挱ㄳ搸㔵㌶晤㘳挷㜰昱㔶晡㠸攷㐳㘹昹㌳昰㐸㕤摤㔹扣㘰㜸㠶扤㔷㤵ㅦ昵㈴㤴㤹户㠴㥢摣慡ぢ㝢㕣扢㘱㡤敡戴㠱慦㈲昶戲敦昸㔳戶㜶㝦ㅤ㤸ち㔳攸扥ㄷ㈵㔱㝣ㄹ㥥ㄲ挱㜳㐳敥㐳㝢扥㜳昴㡦㤷ㅥ㍤捣摢㙡ㄱ慤ㄶ㙥㐱扥㤷㤰㍤敤〹〴㜵ㄳㄷ㐵慥攴㠷㌹㈷昰㠹㤲戵㕡㤷搳㠶愷慣㈰㕦户攳㙣㐸㜸〹挲っ㠹㙦㍢㤸㤸戸昷㄰㥡㤸ㄳ㙤敥㑥昵㘱㤳㜲ㄱ㑥㈴㈶慥㝣㝡㜱搸㔰㜴㔵㘴㍤㕡㥢㠵敦㐱ㄵ扤挴㠹愴慤㐴㥥㍡㤹㠴昸㙥扢慥㍢㐸㕤ㄷㅥ㘴ㄸ昶㡦愵ㄴ攲て愴㤰攴㐱㠶ㄷ〲㤴㤴㍡㠵㑣攱㔶㠰㡣挸㕡㝢㠸㤷晥㠰ㅤ㈱㈰㥢㤷晥㝡晣㠸〵扢〸㉣挶扥昸㕥㑦戴戴㐵㘳搵挴㔰慤戲㘹ㄶ㤱㔱㠷ㄷㄶ㑣挶愵㈹㑢攷〰㑡户散㡥攲㑢㠶散㌰昰ㄶ㌲㜶挱愶慦慤㙣摦攵㌴㜰昳〳㝡愶愸ㄴ㠶戳㥢挵㌸㤰慡ㄸ㕤搸戴ㅣㄶㄱづ㠷搹㘶愷㠱愸ち㍡换搹㡢㔳㈹㠲㝦晣㔲㠸昵攳慤愱慦㙣慦愱㡥㜳晡戱㐰晥㘰㝦㕤㥦挱搸㜸㉢㌹〶ㄲ㜶㑢慤㑡攱昵昰搳攸挲㐵攷㠴摥捡慡㘷㜱㄰㝦㘲捥敡搳㍡昴㍦愳搷㡡戳捥戰㌷挳搸㈹晤晦㍥ㄴ㙣慡晦〵㘳㙦ち㤱敦㡦㌲㝣㈸㌰㝥戲㘹挸㠶㍢〲捦㌶㠲㌷敡㘰慣慢㉣㐳摥㘱㙥ㄱㅦ慦㠶搵㑡㠲挳敦㤵㙦扦ㅡ搱散㑢摢㜶愰慢〰㘴㙣愸昰㑤㠸愰慥晤搳㜲㉢㍥摤ㄶ敦㐷挷㍤㈷慣慡攷晡慥ㄹ㡣㉤㈲攸㍢挶㙦捦㑣搸㍣㔳攲ㅢ敤㐲敤㐶散挴攰〷搱攷攴㍣〴昶㐹ㄹ扣㔲戱㐸㐶ㄶ戶ㄶ挹攰㜷㐸㈳㠹昰ㄲ戵㠳㝦㠵㜹㙦挳愸攳搳搵㜹昸㍡〳ㄶ㙤ぢ㘵ㄷ㝡㥣摢㙦㘸㜰敢㜰㐷敢ㅥ昸㠳㘴㝤〲挱㌱戵㠴晢㍦挸㝤㙤摦㠳㜴摢㘸㙤㍥㕢昶收㜳㉢ㄷ㥥〱㑥户昶㤶㌴挹昰㥤晣㈲戹慣㔷〸㜱㘹晦㌰晥㙥摤㐱换搱㐶㐱攷搱〷摤㜴㠴㡤搷攱㍥摢㐲昴晢㉣扡㡡㈹〲晣㜴㈳捡昰㐱搰换㐷㔶ㄴ㕦挳戲挸〰挸攷㡡㔵㠰敥㔴晤搴㐶㔴㍤ㄲぢ㘴挱㌳〶挹戱㉣扥㠲㠶摣慥㜰搹㘰〹㉥㕢愸戳〴昲㝡摣〳昹㥣攰㔹㐲㑤攴㑢攸搰㥣㠸㠵搲敥ㄳ昹攲㐶ㄳㄱ戴〲搴㐲㤳攳㡦挴㕡㐴慦愳㕡户〹ㅣ〲ㄷ㘰㤸㘲㤱戲愶ㄸ㠶ㄶ㝥㐸捣㈰晤㍡晡晢挲攱㕦㍤捦昴户挳㐲〹㐲㔴愵㈷㑦㐱愸㈶晦㐴㜲昲ㅥ㑡扢㑦晥昱㡤㈶㍦㐲ㄹ挹㤹攸〱挰㔰㥦愸攰㡦㕡㑣〳ㄹ敥㈳㝦攲㉣〱㝥愹㔹㡣ㄸ㈸㔱㝤㉦㈰㠳扥摣㜰搵敡㈲㌲㜱摦〲搷㥦昱㜱㡦戲㡦㜸ㄱ㤲扥㥣㘲攸㡣㉤㠶㕡戱㘴㐷㕥搸㙤㈱ㅢ戰㈴㝥㉤摢㔵愴ㄷ㝢㡣昰㡢㡦挵㠸㌹㜶㉣晥㜲㑡㡢㘲㑥㈰㡣搰㈲㈵晤㜰㈳挵㐷攳挶摦㝦戶攵㌲㐵〵ㄲ愸㈷㙣㑣㍡㔳㡤ㅦ㡢ㅢㅦ挰㔷㔹慡㑤㡥㌷〸㤸㕥㠸ㅢ㤳ㅥ㔵攳㐷攳挶㝦㍤戰户搹㌸愶挳㜰攴〲㠹㈴挳搶㔵搶㝦攲ぢ敤㘱㌴㉦㤸搴㥦〳㘶㔸㑣挹愹㐲挷㜵愵㐱〷㜱ㄹ挴挳㌷搲㜳戸摢㠴㉢㈰㄰戲攱晦㉡攱㌸敥㍣捤ㅡ㠱㠱㑦愰搷㄰㙣昶㜴昵挴捥㐵㜳摥㐳㐱扦㜹摣挷㤹慡戶慤㐸〴收㐰㍥摣摦㑤㥣昲ㄹ愶㘳㙢㍦攲㈰㤹挶㍢㈴扤㈹てㄵ㔸挹㡢て挷㤸捤㍤搲愲ㄹ晤㘱㈰〷搲ㄱ㤰ㄹ晤ㄱ挰㌰㄰挳摢捡戹ㄱ昲扦㘲敥て戳攲㈳〴㡦〲㤴〵㤹㥤㜴㔰㝣っ㘰㌸晥ㅦ㔵㡣慤㈹㝦㠹㈶㉥挵㉦㑢㤲㤱晥㌱㜶昸㌸㐰ㅦ摣户㈲㈲挲戲晥〹㤴㈴㕦㑡挱愱㕥晡㐹㔶㝣㡡攰㜱㠰㜲㠱㤳摤昲慥㜱㑤㍤㙡慥㑦愳慢㜸㠴〰㍦晤㠹㈸挳㠷〲昷攱㕤摤㙤㘵ㅥ㠵攳て晢ㄱ敡㑣㝤挱㝦ㄷ扥挸㕦攷愲晢昰㍦㈴㈹㈸挳㍥慦扤戳户戱挸〴戴挹搵㙦ㄵ㥢晤㌲挶攱扡㕡ㄱㄴ㡥㐸愵㔲搲㡡㠲昸收㠲㠵㡢㌷昰㉤㠷㔴㠵㄰愴〱㔵攱㐴ㄵ㠷㔱愰㝦㡥㑤㠹㘳攲㐹晦㍣㥦㠸㕡戵㠹㕦㠸㌲㝣㄰挴慢敡晥㐰搴㍤㝥㈱㜱慤㉡慣戶ㄷㄲ晦慡㘲㈵昹挲㈷㌹㤸㐲ㄶ㌲㘹慤㐴愴㈹ㅡ晡ち㌲㐳㝤挳㥣摢㝤昸㘹ㄷ㐵昵㙣敤散搹㝦づ攷挷慥捤扦敦扤㠳㑦扥昰换ㄷ㍦晢㥢てㅣ晡换扦㥥㝡敡㌷㝦晡散昳晦晡挹昲愱㥦㍦昳捣捦敥晥晡昳㉦敥㌶㥦搶㥥晤攷摣搳て㑤㥥㝦攸㐱昳昴㉤㐷ㅦ㝡晦〳昷㑥㉥㕣㌱摥搷搷摦㝦昳攸㉦慥㜹换挸㈳て㍥㈷㝥晡扢慢ㅤ愱㤶㡢ㄷ愴愷挱㘵慢㘹㝣ㄵㄹ㑣㠳㌳㝥㔵愷挱攵慡㡤㕡㡥㌶㙡ㅡ〵㈵昸㌴㌸〱㔵㘱愴㉢〶晥〳㌱扡戳ㄸ</t>
  </si>
  <si>
    <t>㜸〱敤㕣㕢㙣ㅣ㔷ㄹ摥㌳摥㕤敦慣敤搸㡤搳㑢㑡㘹つ愵ㄴ攲攰挶㘹㐳㈹㄰㠲㉦㑤攲攲挴㙥散愴㈰㐰㥢昱敥㤹㜸㥡㥤ㄹ㜷㘶搶㠹㑢愵㐶搰㜲ㄱ㤷㑡攵㈲ち攵愲㠲㤰㜸攱昲挰ㅤ〹㈱㈱㠱㔰㤱㜸㠰〷㈴ㅥち㐲昰〰㐲㤱㜸攱〱〹扥敦捣捣敥捣慥㜷散㙥㕢㜰㤱㑦扡扦捦㥣摢㥣㜳晥敢昹晦㌳捤㠹㕣㉥昷㙦㈴晥㘵捡㌳㜳搳搲㠶ㅦ㐸㝢㘲挶慤搷㘵㌵戰㕣挷㥦㤸昲㍣㘳㘳摥昲㠳㍥㌴㈸㔶㉣搴晢㠵㡡㙦㍤㉣㑢㤵㜵改昹㘸㔴挸攵㑡㈵㕤㐳㍤〷攱㙦㈴㝥搰搹㙢㌰て戰㍣㌳扤戰昲㈰㐶㕤ち㕣㑦ㅥㅣ㍢ㄷ昶㍤㍡㌹㌹㌱㌹㜱搷摤㤳㙦㥣㌸㜴㜰㙣愶㔱てㅡ㥥㍣敡挸㐶攰ㄹ昵㠳㘳㡢㡤㤵扡㔵㝤㠷摣㔸㜶㉦㑡攷愸㕣㌹㜴攷㡡㜱搷㥢㈶敦㍡㜲挴扣攷㥥㌷つ攲搵戹搳㌳搳㡢㥥㌴晤ㄷ㘹捣〲愷㝣搷慣慣㕡㕣㥢㤴㥥攵㕣㤸㤸㤹挶㝦㠹昹攳改敥㠹愵㔵㈹〳扥㕡㝡搲愹㑡㕦㐷挷〱㝢捡昷ㅢ昶ㅡ㌷㑦户㡦㘳愹㔵挳てち昶㡣慣搷㜵㍢ㅥ戵㘴㉦㘰敦敡挶挶愰扤㈴ㅤ摦ち慣㜵㉢搸㈸摡换ㄸ愸㌶㘴㥦昵攵ㄹ挳戹㈰㑦ㅢ戶㉣搸㈷ㅡ㔶㉤ㅦ愶㕣摦敤昱㄰挹㠹愹攵㑦㑣昹昶捣慡攱愹ㄹ昹摣㤸㡣戶挷扤㙡扡敤慤摤挷攵搴搵ㅢ㌸收㙤摤摢愱收㥣攱㌵㕢㡥㜷㙦ㄹ㉤㍥㍤㠳㍢扡户㑦散㔱扡捦敢扢昷㔱㕢㤹㙥㉤〶㈲晡㔶㍢㡡挵攸㐵㠲㝥㠲ㄲ〱ㄱ愸㤷〹〶〸〶〱㐴晥ㅦ攰㤲㘴㐷㔶㘹ㄵ㐳慢慣㘸㤵慡㔶愹㘹ㄵ愹㔵㑣慤㜲㐱慢慣㙡ㄵ㑢慢㍣愸㔵㉥愲㑤㥣㑡晤晤㕡㤴慣㐳摦晥捡㘷て晣㘴敥㐷慢㔷ㅥ㝢晢㉤摦搹㌷戸〷㡤敥㡦㈶㌵敢ㄹ㤷㐰㙡㉤㉡㍥㍣㜱㠸晦戶收ち㌰㠵㜹挴扣摢㥣㥣慣ㅤ㌹㘴摣㘹ㄴ戸慣っ攴愷〸㘵〴㙤〷捤〷㉣愷收㕥㔲戸扢㘹摡昰㘵㙢攳挶愳扡㘹户攱搴晣㔷㙣㕥戹ㄴㄸ㠱扣戱扤慥㌵㐸㐷户㈵戰㤵昴搵晢㙥㙥敦㜶捥愸㌷攴搴㘵㉢慣㝥㘵㕢戵扤攸戹㉢摤㙢㡦㝢昲愱㘶㙤挷㡣愶㈰搴搶搵搸ㅤ慢っ慢挲㜹㡤捤慣扡扥㜴搴昴挶敤㐵慢㝡㔱㝡㑢㤲㈲㔱搶搴㔲慦㘵㔵挴昵攳ぢづㄶち㙥慤扤㍡㔹㙡摥㝢㌹〰㌳换ㅡ收扢㈶扤㘰㘳搹㔸愹换敢㔲㑤挲㜷愲㘲㝦慡昸戸㕢㙤昸㌳慥ㄳ㜸㙥㍤㕤㌳㔵㕢㌷㈰㘹㙡愷摣㥡捣攷㜳㑡㈸㐰攰昶昵〹㤱㍢搰㥤ㄷㄴ㈲ㄲ㈸㈶㈳摦㤰㈶扢㠹㌳㔸ㅤ㔶㔱㤷愴㐹敤㌵㕢っ挶昹㉡ㄹ㤳挱㠱㠹㌵㔱㝦昰愵慦摢㘲搸㈶收㕥摡挶㥡㌶ㅡ慤晥摥㜵改〴㈷つ愷㔶㤷㕥愶昶ㄳ㥣㤱㍥っ㔰戸ち㠱搰㜵昷愸敡挴㘵戱㔱戸㘴搵㠲搵攲慡戴㉥慣〶㈸㠳㠶㉣㤵戸戵ㅤ㐹扦〶㐵晡㕥㠲㔱㠰㜲㌹㔷摣挷㐶挵㌲㔲慥㐰改㤴挱换㈹㐱捥㝥㈹㕥ㅥ㌴㡦㕢昵㐰㠶㐲㜹搸〴㐶㐲慤愶搰㌷㐴ㄲ昵㡣㙡愸㌰昶㤹㌳愰㔲挳㜲㠲㡤ㄶ摦㜶㜰㐹㐸㐴扢戲㘰挷挹〲㡡㠲戴㍣挸攰㌵㄰㑤㥢㌴挸㙥㥣㈰㈲戲㐱㠶㘶挷挸㘹㈲㘳晢っㄹ㠱昶㐹㈲㘴敢㐳摤㘵〴㠹扤㤳㐸搹愹㉢㍦敥㑡戳捤㙣昹㔰㥡㕤㡢㡤搳慦㈳戸㥥攰〶㠲晤〰攲捦㤰㜰㤴㜲挸愷㤳晥ち㍣敢㌷ㄱ扣ㄲ〰昲㐹愷捣㠹㐴ㄵ㙤愸敤搸㤱㙣㌷〴㍢㔹ㄹ挵愱㈸愲㘵摣戴㌳㠷㙣㠵攸挸敡摣ㄹ扡㌶慦㜴散㙢扢搳㘶㜲㌹愴挸㡣愶挹戵㙥搱㌴戹ㄱ㙣摡愳摥扡〵㕤昵㌱㠲㔷〱㤴昵㔷ㄳ㐲戹搰攰摤㥥㐵㑦㤳昲㘵㘱ㄶ㠵挶㔰㡦ち㍥㈲㘴ㅥ〱㌲㠴㕣挷昱㘵搷㠶愶㌹㌸㙥扥散㙤攸㠳摤昹㍢㐲㝡㥢摥摣搵㍢昴ㄷ㍤㑦㉢晡㔶戰㤷昸㝤㔷ㅤ㜳ㅢ慡昵搷ㄲ摣づ搰愶㘳㜸晡㝥扥㥥〲㘵ㄶ摢〹捣敤愵搷㐵㔹戹换ㅢ㙢㔲㘹愰㐱㜳搹昰㉥挸〰ㅥ㡣戹㔹搸挲慥攷挹㍡づ戵㌵㔵挰昳换昵改㐲晦戸攷摡㉣摦戵㤱晤㤷㠵㘲挸攷戵扥㕣㥢㡤㥣㘱㙢㈶㝣㑥〹捡愱づ扥戳扢㤰㐸㜴㑡㤳ㄷ晢㘵㥦㉦㜷㈵㐹て㤲攴昵搸㔶晤〰〰愴㠴昸㙤㔷㠹㜲㤰捤摥愰㥡愵㉤㔶㝡昸㌲㑥㈷㙤㍥挴づ㌹㌲㄰㍡㙣愷攱㍦昰㠷散㈵换㙥ち㡢〱㝢㔱㝡㔵昸ㄶ慣扡㉣㠷㙥㔹㡡㥡㕤㔹昱㌲㤱ㄵ㝤㝤ㅤ攷改っ晦㥡愲㤳㌶㈹㤱挹敤㤹㤵ㄹ㘷昱ㄶ㔱搱つ㐹愱㤲攱ㅡ㙡㑡㈰㔲ㅥ摢敥㡡㤸ㅥ㐴捣ㅤ搸㌸晤㄰挱㈴挱㘱㠰挲慦㈰㘹戶扢昱っ㠷昵慦搳愵㕤愹攴㑡㐴㠳㜲ㄱ㍥摢㔵㔸ㅤ攱㙢摥㐸㜰㌷㐰㥢昹㐳〷㘴〶㈱㉡㤴㈷〸㔱㠵㌱捣㜳㤶扣㐴ㅡ搸㘳㈲戰㌴搳昰〳搷㘶㘴㘹挸㥣㜵㑦扢挱慣攵慦㈱ㄲ㌵㙡㐶㤹〷㔶愵〳敡昲㘰晢戴㤵戹㙢㙢戲愶㥢㑢㙥〳愲㙤㙥㜶㈷ㅣ捣戱ㅤ戰㈵搵搹㕣ㄳ㐸扤㥤㡦㌱㠴挰㑥㉢㝦㉢扤戱摢昲㝥昳搰㌷摣摡搱㘵㉢愸换〱㌳㘴㍡收㑢㈶㜶ㄱ㤱㠳㕡扦戹扣敡㐹㌹㍢㘴㥥昰慣㕡摤㜲㈴㤱〱ㅢ㤳挱扡㜹㜹〱㔱㠲㐵㤷㌱㐰搷ㄹ㌲㤷㍤挳昱搷っ〶ㄴ㌷昶愶㥥㔴㔸愴㘰㑥㕢㡥㡦搷㈸㉣㌲㍦㙣㉥慤扡㤷㄰戱㙤搸捥〹㘳捤摦ㄱ㔸㈱搱㠷㐹愱㐶㘸㐲搳㐴㐹㉢昵㡡ㅦㅥ挸㜳㌹昲㕥㥥㐰攱㉡㔷愰捦㍣㐳㝢搳慥㡦㘲㌴戴搳㌹愷㐱㐴㡦㥡㠵㝤㤹㔲㤸㥣慡摦挳㍥㙦〶戸敦挴搹戹㔶㘴敥〵挵慣ぢ昴昲㘷挸㜸㐵ㄶ捤㐰〸㝤㜴㝢㐲㔲㘱ㄹ㈹〷ㅣ〸㡣昳愹㥤晣捡愶㙡㐳敡摢搳捡ㅥ㐷㈴㘹搰㥣㌷㔶㘴ㅤ昱㘸摢〸昶㠴て㌴㘳㙤愳敥㐷㜵㌳慥㙤ㅢ㈴㉤㤲攵㔲搵㈰〵㑦㌵〲昷㤴攵攸㈶㠰愲扦愸挸戸㡣㈲攳戲㉡ㅡ㌴捦㌰㌴愸昲ㅣ换扤㘰㜸㔶戰㙡㕢搵ㄲㅦㄸ扥摢ㄱ㌴〹㈶愷攴㡤㔳㉣㌳挶摡慣昹戳㌰搹晣〹愰㝢〲㜲㤴㕢㐷昴㠳㜲㌵㔱挴㍦搱愳㘳〹〲㐶㜹㑡昵户㘲戴㠲扡ㅤ〱㤱愳搲搵昸づ挶搵㐷㔱ㄲち㈱㘲㍤㠳㐴攰ㄵ㑣〸㜹扡戸㡢收㔹挷ち㠰㍤㘲散戸ㄵ捣晡㐰㌹〰戲敡㜸㝢愳挲㙡愲搳㜸㔳㉢摣搲㔹㤵㔲ㄳ㌷㜷搶㈷昵挶㙢㌶愹づ㌵㑡㐲㤱㙣搵㐸㘹㤶㑤收戸㤳㔴㡤㔰㡡㍢搶㌶㈲换㙤摡摡㜷㑡㤱ㄷ愰㤸ㄴ捤攴昴户㈹㐲㐱愰㌷搲㔱昴搹㘷㤳㐷㈲㘲㐳ㅢ愰㑣㍤ㄵ㤶つ㐵㈱挱㌹㕣㍢愹挹㜲昴〴晥摥ㄳ㘵ㄷㅡ㐱慡挶戸㍣ㅡ搵㑣搵敢ぢづ慣㠴慡攱搵㜶〸㑢㘳㙤愱㠶㔱摣搹慢昶て户㌷挱㠸ㄱㅢ㌲㉣㤲攱〷〶ㅢ㠲戹ㄲㄱ㔵㕡㘷㐳摣敡㘶㜱㠹㑦愷愴攱㈸っ㉣〵戵㔹戹慥捣戰㤶㈵㍦慡㍡㌴㑦㡢㑡㡥敡收搴㡡て㤵ㅥ㔰㡥㐷㌹挵攰扡㜹㠶㙥㈹㕣㘲㠰搸㡤㜲㡢搵〰愱摤收〰㍣ㄹ散ㅣ散㘰㐷挲搰〹慤㌳㑡搰㘲〶攱愶ㄷ㐱摥改ㄱ愳㄰愴愶㑡㝦㍦㈶㍥昷ㄴ搳搷㡦攵攲㑣挴㐴っ㜷㘵㔸て㐰㙥㌲㌲㐹㉥ㅡ㡤〳收愱㘴㔳㐲㙢㌰㉥愳㠹㌱㐴㤳捦ぢ㜰㡢㠷戱慣㘱戲㑤ㅤ昷摣〲ぢ摡戴扥戱挷㥣㜳慡昵㐶㑤㉡㔵ㅣ换㙡愵㤱㜷〴扥搴ㄵ挰㤰㥢㌲昶㈵摡㤴㌹ㅣ愵戸㘴㈲愹㜷扢㕢㍦㠶敥㑡挸㘱㡣㔰昵㌱〰㤹攱㤶㔳〱戱㡥㝢ち戴て昷戶㉥㌰愸换㜳㄰㘹ㅤ㐵㤴㘵昳戸㡦搷㡣㈲㉢㙥㑢㌴㥢㜷攷㕤摡散㠹愲㤳㔶㔸戴㈳㜰㠴㜵㠶〲慦㔸㠴㌱搲㈳㜷㜰㤰摣搵㈸扡㝢昵㔱昵㤸扢ち㔴㈸っ〸挶㜸㜹ち捡㘱㔷挱㐸㌴戸戵㤶搵㉤ㄸ晤愵攵慤㑦〱〸㠶㠱㘹搰愲㘵㘸攰捣㈰扦戵㠱㜳ぢ㕡㘵㐴㐸㤳挱㔴挶㈸㐷攱戰〷搲挰㑤㍣㐸㉦扢㔰㐲挱㍥㜵㌱㉣扥㥢㌸㙥攳〸攴㝡搷戵ㄵ㉥ㅡ〱慥扦㌸晢摢㡡愷㙡㌵㥡扢昰捦敤〸慣攲敡㐶㘸㡥敥㙢扢㤴愵搶㐴晢敥搶戶㡡攸戲攰攱搹㠹㤳㐶㔰㕤㕤ち㌶挲㡢㕢扤㤲㐴攱挷昰㐷㙣晡㜶摡捣㜹㠷ㄷ㔱搷戹昷攵㡢㡥㝢挹㔱昳㉡昸扣昵〷ち挱ㄵ捡㝥㑥戲㥣晢㌷晥愹愴攵ち㍦挲㠸摢㤹㌶〷㘸㌹㐸㌸㡥㑡愱㌴ㄸ㐳㍥㠳㑥㘰扢㌷㙦つ㤰㑥昶戵搱㠹ㄲ〴扢㠴攲㕣㜸搱〸㐵晣㄰㘸㈵戱㠴㐷㜲散昹搷挰晡攲〷㈸㈱挲昱ㅣ㠹㤱挲慢㤰换㐰㥤ㄲ攴搱ㄵて㕥〸昹晦挱㔲捣捤㥢戲搳㝦㠱㤹挵昷摢㔱㜴㌳㔱昴扤づㄴ〹㕥〳㔱晣㝢ㅦ㌲㜱㉡㌰㍣晢扣〲攱㕣搳敥〱昴㈵扦昰晢㍦㍣㠰捥㐷挴愱㙣㌴㠴摡㙥挳㜳搳㐴攸敢㌰ㄱㄸ扣㔷㈶挲㈹㘴〴愳昸愱㠹㄰昹㐰ㄶ㔰戰戵㠹挰搸㕥㠶㈱㤸〸戵㈶摣ㅡ㍣㠱㕤㘷搳㍦㜶ㄲㄷ㙦愵㡦㜸㍥㤴㤶㍦〳㡦搴昵㥤挵㡢㠶㘷搸晢㔵昹〹㑦㐲㤹㜹换戸挹慤扡戰挷㡤㥢搶愸㑥㥢昸㉡㘲㉦晢慥㍦㘵㝢昷搷㠱愹㌰㠵敥㝢㔱ㄲ挵ㄷ攰㈹ㄱ㍣㌷攴摥户敦ㅢ㈷晥昰昰㘳挷㜸㕢㉤愲搵挲〱攴㝢〹搹搳㥥㐰㔰㌷㜱㔱攴㕡㝥㤸㜳ち㥦㈸㔹㙢㜵㌹㙤㜸捡ち昲㜵㍢捥㠶㠴㤷㈰捣㤰昸㜶㠲㠹㠹㝢て愱㠹㌹搱收敥㔴ㅦ㌶㈹ㄷ攱㐴㘲攲捡愷ㄷ㠷つ㐵㔷㐵搶愳戵㔹昸ㄶ㔴搱昳㥣㐸摡㑡攴愹㤳㐹㠸㙦戶敢扡㈳搴㜵攱㐱㠶㘱晦㔸㑡㈱晥㐰ち㐹ㅥ㘴㜸㈱㐰㐹愹㌳挸ㄴ敥〰挸㠸慣戵㠷㜸改て搸ㄵ〲戲㜹改慦挷㡦㔸戰㡢挰㘲散㡢敦昵㐴㑢㕢㌴㔶㑤っ搵㉡㥢㘶〹ㄹ㜵㜸㘱挱㘴㕣㥡戲㜴づ愳㜴摢敥㈸扥㘴挸づ〳㙦㈱㘳ㄷ㙣晡摡捡昶扤㑥〳㌷㍦愰㘷㡡㑡㘱㌸㝢㔹㡣〳愹㡡搱㠵㑤换㘱ㄱ攱㜰㤸㙤㜶ㅡ㠸慡愰戳㥣晤㌸㤵㈲昸挷㉦㠵㔸㍦摥ㅡ晡摡昶ㅡ敡㌸愷ㅦぢ攴て昶搷捤ㄹ㡣㡤户㤲㘳㈰㘱户搵慡ㄴ㕥て㍦㡢㉥㕣㜴㑥攸慤慣㝡ㄶ㐷昰㈷收慣㍥慤㐳晦㌳㝡慤㌸敢ㅣ㝢㌳㡣㥤搲晦敦㐴挱㤶晡㕦㌰昶愶㄰昹慥㈸挳㠷〲攳㈷㕢㠶㙣戸㈳昰㙣㈳㜸愳づ挶扡捡㌲攴ㅤ收㤶昰昱㙡㔸慤㈴㌸晣㕥昹昶慢ㄱ捤扥戴㙤〷扡ち㐰挶㠶ち㕦㠳〸敡摡㍦㉤户攲搳㙤昱摤攸戸敦㤴㔵昵㕣摦㌵㠳戱㈵〴㝤挷昸敤㤹〹㥢㘷㑡㝣戵㕤愸摤㡡㥤ㄸ㝣㉦晡㥣㕥㠰挰㍥㉤㠳ㄷ㉢ㄶ挹挸挲昶㈲ㄹ晣づ㘹㈴ㄱ㕥愲㜶昰慦㌱敦㙦ㄸ㜵㝣扡扡〰㕦㘷挰愲ㅤ愱散㐲㡦㜳晢つつ㙥ㅤ敥㘸扤〳晥㈰㔹㥦㐰㜰㑣㉤攱摤敦攵扥戶敦㐱扡㙤戴㌶㥦㉤㝢昳戹㤵ぢ捦〰愷摢㝢㑢㥡㘴昸㑥㝥㤱㕣搶㉢㠴戸戴㝦っ㝦户敦愰攵㘸愳愰昳攸㠳㙥㍡挲挶敢㜰㥦㙤㈳晡㝤ㅥ㕤挵ㄴ〱㝥扡ㄱ㘵昸㈰攸攵㈳㉢㡡㉦㘲㔹㘴〰攴㜳挵㉡㐰㜷慡㝥㝡㌳慡ㅥ㠹〵戲攰ㄹ㠳攴㔸ㄶ㥦㐷㐳㙥㔷戸㙣戰〴㤷㉤搴㔹〲㜹㍤敥㠱㝣㑥昰㉣愱㈶昲㔹㜴㘸㑥挴㐲㘹昷㠹㝣㘶戳㠹〸㕡〱㙡愱挹昱㐷㘲㉤愲搷㔱慤摢〴づ㠱ぢ㌰㑣戱㐸㔹㔳っ㐳ぢ㍦㈰㘶㤰㝥ㅤ晤㝤敥搸慦㥥㘵晡摢㌱愱〴㈱慡搲㤳愷㈰㔴㤳㝦㈲㌹㜹て愵摤㈷晦昱捤㈶㍦㐲ㄹ挹㤹攸〱挰㔰㥦愸攰㡦㕡㑣〳ㄹ敥㈳㝦攲㍣〱㝥愹㔹㡣ㄸ㈸㔱㝤㉦㈱㠳扥摣㜰搵敡㌲㌲㜱摦〲搷㥦昱㜱㡦戲㡦㜸ㄱ㤲扥㥣㘲攸㡣㉤㠶㕡戱㘴㐷㕥搸ㅤ㈱ㅢ戰㈴㝥㉤摢㔵愴ㄷ㝢㡣昰㡢て挵㠸㌹㜹㌲晥㜲㑡㡢㘲㑥㈰㡣搰㈲㈵晤㜰㈳挵〷攳挶摦晥㙥换㘵㡡ち㈴㔰㑦搸㤸㜴愶ㅡ㍦ㅥ㌷㍥㡣慦戲㔴㥢ㅣ㙦㄰㌰㍤ㄷ㌷㈶㍤慡挶㡦挵㡤晦㝡㜸㝦戳㜱㑣㠷攱挸〵ㄲ㐹㠶慤慢慣晦挴ㄷ摡挳㘸㕥㌰愹㍦〷捣戰㤸㤲㔳㠵㡥敢㑡㠳づ攲㌲㠸㠷㙦愴攷㜱户〹㔷㐰㈰㘴挳晦㔵挲ㅣ敥㍣捤ㅡ㠱㠱㑦愰搷ㄱ㙣昶㜴昵挴捥㐵㜳挱㐳㐱扦㌹攷攳㑣㔵摢㔱㈴〲㜳㈰ㅦ敥敦ㄶ㑥昹っ搳戱戵ㅦ㜱㤰㑣攳ㅤ㤲摥㤴㠷ち慣攴挵晢㘳捣收慥戴㘸㐶㝦ㄴ挸㠱㜴〴㘴㐶扦〲ㄸ〶㘲㜸㕢㌹㌷㐲晥㔷捣晤㝥㔶㝣㠰攰㌱㠰戲㈰戳㤳づ㡡㡦〳っ挷晦愳㡡戱㜵攵㉦搱挴挳昱换㤲㘴愴㝦㠸ㅤ㍥っ搰〷昷慤㠸㠸戰慣㝦〴㈵挹㤷㔲㜰愸㤷㝥㤴ㄵㅦ㈳昸㌸㐰戹挰挹㙥㝢搷戸愶ㅥ㌵搷㈷搰㔵㕣㈱挰㑦㝦㈲捡昰愱挰㝤㜸㑢㜷㕢㤹㐷攱昸挳㝥㠴㍡㔳㕦昰摦㡢㉦昲㌷戸攸㍥晣て㐹ち捡戰捦㙢㙦敥㙤㉣㌲〱㙤㜲昵㕢挳㘶扦㠰㜱戸慥㔶〴㠵㈳㔲愹㤴戴愲㈰扥戹㘰攱攲つ㝣换㔱㔵㈱〴㘹㐰㔵㌸㔱挵㌱ㄴ攸㥦㘴㔳攲㤸㜸搲㍦挵㈷愲㔶㙤攲愷愳っㅦ〴昱慡扡㍦ㄸ㜵㡦㕦㐸㕣慢ち慢敤㠵挴扦慡㔸㑤扥昰㈹づ愶㤰㠵㑣㕡㉢ㄱ㘹㡡㠶㍥㡦捣㔰摦㌰攷昶〰㝥摡㘵㔱㍤㕦㍢㝦晥㥦挳昹戱ㅢ昳敦㝣晢攰㔳捦晤昲㡦㑦晥收㍤㐷晦昲慦愷㥦晥捤㥦㥥㝣昶㕦㍦㕥㌹晡昳㘷㥥昹搹㝤㕦㝡昶㡦㝢捤㉦㙢摦晤攷晣㤷ㅦ㤹扣昸挸㐳收搹〳㈷ㅥ㜹搷㠳昷㑦㉥㕥㌳摥搷搷摦㝦晢攸㉦㙥㜸摤挸㤵㠷扥㉦㝥晡扢敢ㅤ愱㤶㡢ㄷ愴愷挱㘵慢㘹㝣〱ㄹ㑣㠳㌳㝥㐹愷挱攵慡㡤㕡㠹㌶㙡ㅡ〵㈵昸㌴㌸〱㔵㘱愴㉢〶晥〳ㄹ㄰戲㔱</t>
  </si>
  <si>
    <t>A (TFP)</t>
  </si>
  <si>
    <t>CO2 emissions 2050</t>
  </si>
  <si>
    <t>Share of the new sector In 2050 (%)</t>
  </si>
  <si>
    <t xml:space="preserve"> </t>
  </si>
  <si>
    <t>Hydrogen export revenues in 2050 (% of GDP)</t>
  </si>
  <si>
    <t>67c231ff-13ae-4eb0-837c-8075456056b6</t>
  </si>
  <si>
    <t>㜸〱敤㕣㕢㙣ㅣ搷㜹摥㌳摣㔹敥㉣㐹㤱ㄶ攵㡢㙣挷㘶散㌸㑥㑣㤵ㄶ㘵㉢戶搳㉡㉡㉦搶挵愱㐴㕡愴攴ㄸ㡥戱ㅡ敥㥥ㄱ挷摡㤹愱㘷㘶㈹搱㌵㘰㈳㜵㥡ㄴ㙤ㅡ挰㐹㡢㌸㜱㉥㌰㠲〰〱㠲戴㝤㐹㜳㝢〹㔲愰㐱攰〰㜹㐸ㅥ〲攴挱㌵㡡戴㐰㡢㔶㐰㕦晣㘰㈰晤扥㌳㌳扢㌳扢摣㈱扤戶㕢扡攰㤱昷攷㤹㜳㥢㜳捥㝦㍤晦㝦挶〵㔱㈸ㄴ㝥㡦挴扦㑣㐵㘶㙥㕤摥っ㐲改㑣捤㜹㡤㠶慣㠵戶攷〶㔳㌳扥㙦㙥㉥搸㐱㌸㠰〶愵慡㡤晡㐰慦〶昶㌳戲㕣摤㤰㝥㠰㐶㝡愱㔰㉥ㅢㅡ敡㌹〸㝦㘳挹㠳挱㕥挳㐵㠰㤵戹搹挵搵愷㌰敡㜲攸昹昲搰挴㠵愸敦戱改改愹改愹晢ㅦ㤸晥挸搴攱㐳ㄳ㜳捤㐶搸昴攵㌱㔷㌶㐳摦㙣ㅣ㥡㔸㙡慥㌶散摡挷攵收㡡㜷㔹扡挷攴敡攱晢㔶捤晢ㅦ㥣扥晦攸㔱敢愱㠷ㅥㅣ挶慢ぢ㘷攷㘶㤷㝣㘹〵敦搰㤸㍡愷㝣晦扣慣搹㕣㥢㤴扥敤㕥㥡㥡㥢挵㝦愹昹攳改㠱愹攵㌵㈹㐳扥㕡晡搲慤挹挰㐰挷㈱㘷㈶〸㥡捥㍡㌷捦㜰㑥㘰愹㌵㌳〸㜵㘷㑥㌶ㅡ㠶㤳㡣㕡㜶ㄶ戱㜷つ㜳㜳搸㔹㤶㙥㘰㠷昶㠶ㅤ㙥㤶㥣ㄵっ㔴ㅦ㜱捥〷昲㥣改㕥㤲㘷㑤㐷敡捥挹愶㕤㉦㐶愹㌰㜰㜷㌲㐴㝡㘲㙡昹㔳㌳㠱㌳户㘶晡㙡㐶〱㌷㈶愷敤〹扦㤶㙤㝢㘷敦㜱㌹㜵昵〶㡥㜹㔷敦㜶愸戹㘰晡慤㤶㤳扤㕢挶㡢捦捥攰摥摥敤㔳㝢㤴敤昳攱摥㝤搴㔶㘶㕢㡢愱㤸扥搵㡥㘲㌱㐶㠹㘰㤰愰㑣㐰〴ㅡㄵ㠲㈱㠲㘱〰㔱晣㙦㜰㐹扡㈳慢戴慡愹㔵㔷戵㙡㑤慢搶戵慡搴慡㤶㔶扤愴㔵搷戴慡慤㔵㥦搲慡㤷搱㈶㐹攵挱㐱㉤㑥晦愶㝦㙣敤愷攷㑡昳㥦晤搲㝦㌹㡢挷晣敦っ敦㐳愳㐷攳㐹捤晢收ㄵ㤰㕡㥢㡡㡦㑣ㅤ收扦敤戹〲㑣㘱ㅤ戵ㅥ戰愶愷敢㐷て㥢昷㤹㍡㤷㤵㠳晣っ愱㡣愱敤戰昵㤸敤搶扤㉢ち㜷户捥㥡㠱㙣㙦摣㘴㕣㌷敢㌵摤㝡㜰换搶㤵换愱ㄹ捡㥢㍢敢摡㠳㜴㜵㕢〶㕢挹㐰扤敦戶捥㙥ㄷ捣㐶㔳捥㕣戵愳敡昷㜵㔴㍢㑢扥户摡扢昶㠴㉦㥦㙥搵㜶捤㘸〶㐲㙤㐳㡤摤戵捡愸㉡㥡搷挴摣㥡ㄷ㐸㔷㑤㙦搲㔹戲㙢㤷愵扦㉣㈹ㄲ㘵㕤㉤昵㝡㔶挵㕣㍦戹攸㘲愱攰搶晡ㅤ改㔲敢攱慢㈱㤸㔹搶㌱摦㜵改㠷㥢㉢收㙡㐳摥㤰㘹ㄲ扤ㄳㄵ〷㌳挵㈷扣㕡㌳㤸昳摣搰昷ㅡ搹㥡㤹晡㠶〹㐹㔳㍦攳搵㘵戱㔸㔰㐲〱〲㜷㘰㐰㠸挲㍤扤㜹㐱㈱㈲㠵㘲㌲昲㑤㔹戲㥢㍡㠷搵㘱ㄵつ㐹㥡搴㍥戰捤㘰㥣慦㤲㌱㌹ㅣ㤸㕡ㄳ昵〷㕦晡愱㙤㠶㙤㘱敥摤㙤慣㘹攳昱敡ㅦ摥㤰㙥㜸捡㜴敢つ改攷㙡㍦挱ㄹㄹ愳〰晡㌵〸㠴㥥扢㐷㔵㈷慥㡡㑤晤㡡㕤て搷㑡㙢搲扥戴ㄶ愲っㅡ戲㕣收搶㜶㈵攳㍡ㄴㄹ晢〹挶〱㉡㤵㐲改〰ㅢ㤵㉡㐸〵㥤搲㈹㠷㤷㌳㠲㥣晤㌲扣㍣㙣㥤戰ㅢ愱㡣㠴昲愸〵㡣㐴㕡㑤愱㙦㠴㈴敡㥢戵㐸㘱ㅣ戰收㐰愵愶敤㠶㥢㙤扥敤攲㤲㠸㠸昶㘴挱慥㤳〵ㄴ〵㔹㜹㤰挳㙢㈰㥡づ㘹㤰摦㌸㐵㐴㘴㠳ㅣ捤㡥㤱戳㐴挶昶㌹㌲〲敤搳㐴挸搶㠷㝢换〸ㄲ㝢㌷㤱戲㔳㑦㝥摣㤳㘶㕢搹昲㤱㌴扢ㅥㅢ㘷摣㐰㜰㈳挱㑤〴〷〱挴敦㈰攱㈸攵㤰捦㈶攳ㄶ㍣ㅢ户ㄲ扣て〰昲挹愰捣㠹㐵ㄵ㙤愸㥤搸㤱㙣㌷〲㍢㔹ㄹ挵㤱㈸愲㘵摣戲㌳㐷ㅣ㠵攸搸敡摣ㅤ扡戶愸㜴散〷㝢搳㘶㝡㌹愴挸㥣愶改戵㙥搳㌴扤ㄱ㙣摡愷摥扡ㅤ㕤㡤〹㠲昷〳㔴㡣㍢〸愱㕣㘸昰敥捣愲愷㐹昹㥥㌰㡢㈲㘳愸㑦〵ㅦㄳ㌲㡦〰㌹㐲慥敢昸戲㘷㐳搳ㅣ㥣戴摥昳㌶昴愱摥晣ㅤ㈳扤㐳㙦敥改ㅤ晡㡢摥愲ㄵ㝤㈷搸㑢晣戶愷㡥戹ぢ搵挶〷〹敥〶攸搰㌱㍣㝤扦㔵㑦㠱㌲㡢㥤ㄴ收昶搳敢愲慣摣㤵捤㜵愹㌴搰戰戵㘲晡㤷㘴〸て挶改㜹搸挲㥥敦换〶づ戵㜵㔵挰昳换㡤搹挲攰㠴敦㌹㉣摦戳㤱㠳昷㠴㘲㈸ㄶ戵㠱㐲㠷㡤㥣㘳㙢愶㝣㑥㈹捡愱づ扥慦户㤰㐸㜵捡㤲ㄷ晢攵㥦㉦昷㈴㐹ㅦ㤲攴挳搸㔶攳ㅥ〰㐸〹昱敢㥥ㄲ攵㄰㥢晤㠱㙡㤶戵㔸改攱换㌹㥤㜴昸㄰扢攴挸㔰攴戰㥤㠵晦㈰ㄸ㜱㤶㙤愷㈵㉣㠶㥣㈵改搷攰㕢戰ㅢ戲ㄲ戹㘵㈹㙡昶㘴挵㝢㐴㔶っっ㜴㥤愷㜳晣㙢㡡㑥㍡愴㐴㉥户攷㔶收㥣挵摢㐴㐵㌷㈴㠵㑡㡥㙢愸㈵㠱㐸㜹㙣扢㈷㘲晡㄰㌱昷㘲攳㡣挳〴搳〴㐷〰昴㕦㐰搲散㜴攳ㄹづㅢ摣愰㑢扢㕡㉤㤴㠹〶攵㈲㝣戵愷戰㍡捡搷㝣㠴攰〱㠰づ昳㠷づ挸ㅣ㐲㔴㈸㑦ㄱ愲ち㘳㔸ㄷ㙣㜹㠵㌴戰捦㐲㘰㘹慥ㄹ㠴㥥挳挸搲㠸㌵敦㥤昵挲㜹㍢㔸㐷㈴㙡摣㡡㌳㡦慤㐹ㄷ搴攵挳昶改㈸昳搶搷㘵摤戰㤶扤㈶㐴摢改昹摤㜰㌰挷㜶挰㤶㔴㘷㜳㑤㈰昵㜷㍥挶㄰〲㍢慤晣慤昴挶敥挸晢捤㐳摦㘸㝢㐷㔷散戰㈱㠷慣㠸改㤸㉦㕢搸㐵㐴づ敡㠳搶捡㥡㉦攵晣㠸㜵搲户敢つ摢㤵㐴〶㙣㑣〶敢ㄶ攴㈵㐴〹㤶㍣挶〰㍤㜷挴㕡昱㑤㌷㔸㌷ㄹ㔰摣摣㥦㜹㔲㘱ㄱ摤㥡戵摤〰慦㔱㔸㘴㝥搴㕡㕥昳慥㈰㘲摢㜴摣㤳收㝡戰㉢戰㐲愲㡦㤲㐲㡤搰㠴愶㠹戲㔶敥ㄷ㍦㍣㤰ㄷち攴扤㈲㠱挲㔵㐱愷捦㍣㐷㝢搳慥㡦㘳㌴戴搳㌹愷㘱㐴㡦㕡㠵〳戹㔲㤸㥣㙡㍣挴㍥ㅦ〵㜸攴攴昹搳敤挸摣摢㡡㔹敢昴昲攷挸㜸㐵ㄶ慤㐰〸㝤㜴晢㈲㔲㘱ㄹ㈹〷ㅣ〸㡣昳愹㤳晣㉡㤶㙡㐳敡摢搷捥㥥㐰㈴㘹搸㕡㌰㔷㘵〳昱㘸挷っ昷㐵て㌴㘳ㅤ戳ㄱ挴㜵㜳㥥攳㤸㈴㉤㤲攵㜲捤㈴〵捦㌴㐳敦㡣敤ㅡㄶ㠰愲扦戸挸扣㡡㈲昳慡㉡ㅡ戶捥㌱㌴愸昲ㅣ换扢㘴晡㜶戸收搸戵㌲ㅦㄸ扥摢ㄵ㌴〹㈶愷攴㑤㔲㈲㌳㈶㍡慣昹昳㌰搹㠲㈹愰㝢ち㜲㤴㕢㐷昴㠳㜲㌵㔱挲㍦搱愷㘳〹〲㐶㜹㑡㡤㍦挲㘸扡扡ㅤ〱㤱愳搲戵攴づ挶戵攷㔰ㄲ〹㈱㘲㍤㠷㐴攰ㄵ㑣〹㜹扡戸㑢搶㜹搷づ㠱㍤㘲散㠴ㅤ捥〷㐰㌹〰戲敡㜸㝢戳挲㙡慡搳㘴㑢㉢摣摥㕤㤵㔱ㄳ户㜵搷愷昵挶〷戶愸㡥㌴㑡㑡㤱㙣搷㐸㘹㤶㉤收戸㥢㔴㡤㔰㡡㍢搱㌶㈲捦㙤摡摥㜷㑡㤱户愱㤸ㄴ捤ㄴ㡣㡦㈹㐲㐱愰㌷搶㔱昴搹攷㤳㐷㉡㘲㐳ㅢ愰㐲㍤ㄵ㤵㡤挴㈱挱搳戸㜶㔲㤷㤵昸〹晣扤㉦捥㉥㌶挳㑣㡤㜹㜵㍣慥㤹㘹㌴ㄶ㕤㔸〹㌵搳慦敦ㄲ㤶挶摡㈲つ愳戸戳㕦敤ㅦ㙤㙦㡡ㄱ㘳㌶㘴㔸㈴挷てっ㌶〴㜳愵㈲慡戴捥㐶戸搵慤攲㌲㥦捥㐸搳㔵ㄸ㔸づ敢昳㜲㐳㤹㘱㙤㑢㝥㕣㜵㘸㥤ㄶ㤵ㅣ㌵慣㤹搵〰㉡㍤愴ㅣ㡦㜳㡡挱つ敢ㅣ摤㔲戸挴〰戱ㅢ攷㤶㙡㈱㐲扢慤〱㜸㌲搸㍤搸挱㡥㐴愱ㄳ㕡㘷㤴愰愵ㅣ挲捤㉥㠲扣搳㈷㐶㈱㐸㉤㤵晥昳戸昸昲㑢㑣摦㍥㕥㐸㌲㌱ㄳ㌱摣㤵㘳㍤〰戹改挸㈴戹㘸㍣〹㤸㐷㤲㑤〹慤攱愴㡣㈶挶〸㑤㍥㍦挴㉤ㅥ挶戲㐶挹㌶つ摣㜳ぢ㙤㘸搳挶收㍥敢戴㕢㙢㌴敢㔲愹攲㐴㔶㉢㡤扣㉢昰愵慥〰㐶摣㤴戳㉦昱愶㥣挶㔱㡡㑢㈶㤲晡户扢㡤攳攸慥㠴ㅣ挶㠸㔴ㅦ〳㤰㌹㙥㌹ㄵ㄰敢扡愷㐰晢㜰㝦晢〲㠳扡㍣〷㤱搶㔵㐴㔹戶㠰晢㜸慤㈸戲攲戶㔴戳〵㙦挱愳捤㥥㉡㍡㘵㐷㐵扢〲㐷㔸㘷㈴昰㑡㈵ㄸ㈳㝤㜲〷〷㈹㕣㡢愳扢搷㥥㔳㡦㠵㙢㐰㠵挲㠰㘰㡣㤷愷愰〲㜶ㄵ㡣㐴㠳㕢㙢㕢摤㠲搱㕦㕡摥挶っ㠰㘰ㄸ㤸〶㉤㕡㐶〶捥ㅣ昲摢ㅢ㌸户愳㔵㑥㠴㌴ㅤ㑣㘵㡣㜲ㅣづ㝢㈰つ摣挴㠳昴㡡〷㈵ㄴㅥ㔰ㄷ挳㤲扢㠹㤳づ㡥㐰㥥㝦㐳㐷攱㤲ㄹ攲晡㡢㝢戰愳㜸愶㕥愷戹ぢ晦摣慥挰㉡慥㙥㐴收攸㠱㡥㑢㔹㙡㑤戴敦敥散愸㠸㉦ぢㅥ㤹㥦㍡㘵㠶戵戵攵㜰㌳扡戸搵㉦㐹攸㍦㠶㍦㘲换户搳㘶㉥扡扣㠸扡挱扤慦㕣㜶扤㉢慥㥡㤷ㅥ昰搶ㅦ㈸〴㔷㈸〷㌹挹㑡攱昷昸愷㤲㔶搰㝦㠴ㄱ㜷㌲㙤づ搰㜶㤰㜰ㅣ㤵㈲㘹㌰㠱㝣づ㥤挰㜶㙦摤ㅡ㈰㥤ㅣ攸愰ㄳ㈵〸昶〸挵扤昴㡥ㄱ㡡昸㈱搰㑡㘲㠹㡥攴搸昳㙦㠱昵挵て㔰㐲㠴攳㌹ㄶ㈳晡晢㤱换㐱㥤ㄲ攴昱ㄵて㕥〸昹晦㠳愵㠴㥢户㘴愷晦〵㘶ㄶ摦敦㐴搱㙤㐴搱㍦㜴愱㐸昰ㅡ㠸攲摦㐷㤰㐹㤲捥昰散㕢ち㠴㜳㑤㝢〷搰㜷晤挲敦晦攱〱㜴㈱㈶づ㘵愳㈱搴㜶ㄷ㥥㕢㈶挲㐰㤷㠹挰攰扤㌲ㄱ捥㈰㈳ㄸ挵㡦㑣㠴搸〷戲㠸㠲敤㑤〴挶昶㜲っ挱㔴愸㌵攵搶攰〹散〶㠷晥戱㔳戸㜸㉢〳挴昳愱戴㠲㌹㜸愴㙥散㉥㕥㌲㝤搳㌹愸捡㑦晡ㄲ捡捣㕦挱㑤㙥搵㠵㍤㙥摥戲㐶㜵摡挲㔷㤱㜸搹昷晣㈹㍢扢扦づ㑣㐵㈹㜲摦㡢戲㈸扤つ㑦㠹攰戹愱昰㈷〷扥㝢昲㥦㥦㜹攱㌸㙦慢挵戴慡摦㠳㝣㍦㈱㝢摡ㄳ〸敡愶㉥㡡㕣捦て㜳捥攰ㄳ㈵㝢扤㈱㘷㑤㕦㔹㐱㠱攱㈴搹㠸昰㔲㠴ㄹㄱ摦㙥㌰㌱㜱敦㈱㌲㌱愷㍡摣㥤敡挳㈶攵㈲㥣㑡㑤㕣昹昴㤲戰愱攸愹挸晡戴㌶昵扦㠳㉡㝡㡢ㄳ挹㕡㠹㍣㜵㌲〹昱户㥤扡敥㈸㜵㕤㜴㤰㘱搸㍦㤱㔲㠸㍦㤰㐲搲〷ㄹ㕥〸㔰㔲敡ㅣ㌲晡扤〰㌹㤱戵捥㄰㉦晤〱㝢㐲㐰戶㉥晤昵昹ㄱぢ㜶ㄱ㔸㑣㝣昱晤㥥㘸㘹㡢㈶慡㠹愱㕡㘵搳㉣㈳愳づ㉦㉣㤸㑥㑡㌳㤶捥ㄱ㤴敥搸ㅤ挵㤷㡣㌸㔱攰㉤㘲㙣摤愱慦慤攲㍣散㌶㜱昳〳㝡愶愴ㄴ㠶扢㥦挵㌸㤰慡ㄸ㕤搴戴ㄲㄵㄱ㡥㐶搹㔶愷愱戸ち㍡换㍤㠸㔳㈹㠲㝦晣㔲㠸昵㤳敤愱慦敦慣愱㡥㜳〷戱㐰晥㘰㝦摤㤶挳搸㜸㉢㌹〶ㄲ㜶㐷慤捡搱昵昰昳攸挲㐵ㄷ㠴搱捥慡㘷㜱ㄴ㝦ㄲ捥ㅡ搰扡昴㍦愳搷㡡戳㉥戰㌷挳搸ㄹ晤晦〹ㄴ㙣慢晦〵㘳㙦ち㤱㡦挷ㄹ㍥攸㡣㥦㙣ㅢ戲攱㡥挰戳㡤攰㡤㍡ㄸㅢ㉡换㤰㜷㤴㕢挶挷慢㔱戵㤲攰昰㝢ㄵ㍢慦㐶戴晡搲戶ㅤ敡㈹〰ㄹㅢ搲扦〵ㄱ搴戳㝦㔶㙥㈵愷摢搲ㄳ攸㜸攰㡣㕤昳扤挰戳挲㠹㘵〴㝤㈷昸敤㤹〵㥢㘷㐶㝣戳㔳愸摤㠹㥤ㄸ㝥ㄲ㝤捥㉥㐲㘰㥦㤵攱㍢ㄵ㡢㘴㘴㘱㘷㤱っ㝥㠷㌴㤶ち㉦㔱㍢〴搷㔹㡦㌶捤〶㍥㕤㕤㠴慦㌳㘴搱慥㔰㜶㤱挷戹昳㠶〶户づ㜷戴㍥づ㝦㤰㙣㑣㈱㌸愶㤶昰挴㤳摣搷捥㍤挸戶㡤搷ㄶ戰㘵㝦㍥户㡡晥ち㜰扡戳户㘴㐹㠶敦攴ㄷ挹ㄵ愳㑡㠸㑢晢挷昱㜷攷づ㕡㡥㌶づ㍡㡦㍦攸愶㈳㙣戲〱昷搹づ愲摦ㄷ搱㔵捣㄰攰㘷㤸㜱㠶て㠲㕥㍥戲愲昸ㅡ㤶㐵〶㐰扥㔰慡〱昴愶敡㤷户愲敡戱㐴㈰ぢ㥥㌱㐸㡥ㄵ昱ㄵ㌴攴㜶㐵换〶㑢㜰搹㐲㥤㈵㤰㌷㤲ㅥ挸ㄷ〴捦ㄲ㙡㈲㕦㐲㠷搶㐴㙣㤴昶㥥挸摦㙣㌵ㄱ㐱㉢㐰㉤㌴㍤晥㔸愲㐵㡣〶慡つ㠷挰㈵昰〰㐶㈹ㄶ㈹㙢㑡㔱㘸攱〷挴っ搲㉦攳扦慦ㅤ晦挵慢㑣晦㜱㕣㈸㐱㠸慡散攴㈹〸搵攴㍦㥦㥥扣㡦搲摥㤳晦摣㔶㤳ㅦ愳㡣攴㑣㡣㄰㘰㘴㐰㔴昱㐷㉤愶㠹っ昷㤱㍦㜱㤱〰扦捣㉣挶㑣㤴愸扥㔷㤰㐱㕦㙥戸㙡㜵ㄵ㤹愴慦捥昵攷㝣摣愳散㈳㕥㠴愴㉦愷ㄴ㌹㘳㑢㤱㔶㉣㍢戱ㄷ㜶㔷挸〶㉣㠹㕦换昶ㄴ改愵㍥㈳晣攲㌳〹㘲㑥㥤㑡扥㥣搲攲㤸ㄳ〸㈳戲㐸㐹㍦摣㐸昱㘷㐹攳扦晦㕥摢㘵㡡ち㈴㔰㑦搴㤸㜴愶ㅡ㝦㍡㘹㝣〴㕦㘵愹㌶〵摥㈰㘰㝡㉤㘹㑣㝡㔴㡤㕦㐸ㅡ晦晢㤱㠳慤挶〹ㅤ㐶㈳敢㈴㤲ㅣ㕢㔷㔹晦愹㉦戴㐷搱㕣户愸㍦㠷慣愸㤸㤲㔳㠵㡥ㅢ㑡㠳づ攳㌲㠸㡦㙦愴ㄷ㜰户〹㔷㐰㈰㘴愳晦㔵挲㘹摣㜹㥡㌷㐳ㄳ㥦㐰㙦㈰搸散ㅢ敡㠹㥤㑢搶愲㡦㠲㐱敢㜴㠰㌳㔵㝤㔷㤱〸捣㠱㘲戴扦摢㌸攵㜳㑣挷昶㝥㈴㐱㌲㡤㜷㐸晡㔳ㅥ㉡戰㔲ㄴ㥦㑡㌰㕢㜸扥㑤㌳挶㜳㐰づ愴㈳㈰㌳挶昳㠰㔱㈰㠶户㤵ぢ㘳攴㝦挵摣㥦㘲挵㥦ㄲ扣〰㔰ㄱ㘴㜶搲㐱改搳〰愳挹晦愸㘲㘲㐳昹㑢㌴昱㑣昲戲㌴ㄹㄹ㥦㘱㠷捦〲っ挰㝤㉢㘲㈲慣ㄸ㝦㡥㤲昴㑢㈹㌸搴㑢晦㠲ㄵ㝦㐹昰㌹㠰㡡捥挹敥㜸搷戸愶㍥㌵搷㕦愱慢㜸㥥〰㍦攳昳㜱㠶て㍡昷攱て㝢摢捡㍣ち㈷ㅦ昶㈳搴㤹昹㠲晦㘱㝣㤱扦挹㐵て攰㝦㐸愲㉢挳扥愸㝤戴扦戱挸〴戴挹搵㙦ㅤ㥢晤㌶挶攱扡摡ㄱㄴ㡥㐸愵㔲搶㑡㠲昸收㠲㠵㠷㌷昰㉤挷㔴㠵㄰愴〱㔵攱挶ㄵ挷㔱㘰㝣㠱㑤㠹㘳攲挹昸㈲㥦㠸㕡戵㠹㝦ㅤ㘷昸㈰㠸㔷搵晤愹戸㝢昲㐲攲㕡㔵搸ㅤ㉦㈴晥㔵挵㕡晡㠵㉦㜱㌰㠵㉣㘴戲㕡㠹㐸㔳㌴昴ㄵ㘴㐶〶㐶㌹户挷昰搳慥㡡摡挵晡挵㡢㙦㡣ㄶ㈷㙥㉥㝥攲㡦㠷㕦㝡敤攷慦扦昸慢㑦ㅥ晢搷㌷㕦㝥昹㔷晦昲攲慢㙦晥㜸昵搸㍦扤昲捡㍦㍥昲昵㔷㕦摦㙦㝤㐳晢摥ㅢぢ摦㜸㜶晡昲戳㑦㕢攷敦㌹昹散攳㑦㍤㍡扤㜴摤攴挰挰攰攰摤攳㍦扢改㐳㘳捦㍦晤㝤昱㤳摦摣攸ち戵㕣扣㈰㍢つ㉥㕢㑤攳慢挸㘰ㅡ㥣昱扢㍡つ㉥㔷㙤搴㙡扣㔱戳㈸㈸挳愷挱〹愸ち㌳㕢㌱昴㍦攱㌶戲㘳</t>
  </si>
  <si>
    <t>Share of intermediate and advanced levels of education</t>
  </si>
  <si>
    <t>Reduction coefficient</t>
  </si>
  <si>
    <t>CO2 emissions Reduction by 2050 (%)</t>
  </si>
  <si>
    <t>TFP annual growth rate (New Sector)</t>
  </si>
  <si>
    <t>㜸〱捤㕡㝤㙣㘴㔵ㄵ㥦㍢㌳敦㜵摥戴摤ㅤ㜶ㄷ攴㥢〱ㄶ昹搸㙥㘹ぢ㘵㤷㡦㑡摢㈹㕢ㄶ摡敥搲㜶㜷昵てㅤ㕦㘷敥㙢ㅦ㥤㜹慦扣昷愶摢攲〷㐴㄰㠹㥦㐱㔴㤴㐰挰挰㍦ㄲ搴ㄸㄴ㡣㈲㄰ㄳ戳㈱㙡㡣㌱愲挶ㄸ㐴㘳㄰〵戳晡㥦㠹〶㝦扦晢摥戴㌳㙦㘶扢换㠲〹㜷㜷捥㍢昷攳㥤㝢捦㌹昷㥥晢扢昷㌵㈱ㄲ㠹挴㥢㐸㝣㌲愵挹㥣㍤戳敡〷戲摡㕢㜰㉢ㄵ㔹ち㙣搷昱㝢㐷㍣捦㕣㥤戰晤㈰㠵〶㝡搱㐶扤慦ㄵ㝤晢㜶㤹㈹㉥㑢捦㐷㈳㉤㤱挸㘴㡣㈴敡搹㠶扦㕣㍤㘳㌰㘷愴㐹搰㉡搱愵㠳捣ㄶ㐶昷捤摤ち昹㌳㠱敢挹㥥晣挱㔰捡㔰㝦㝦㙦㝦敦㤵扢晡慦敡敤敢挹ㄷ㙡㤵愰收挹㈱㐷搶〲捦慣昴攴昷搷收㉡㜶改㘶戹㍡敢㉥㑡㘷㐸捥昵㕤㌱㘷㕥戹扢晦捡挱㐱敢敡慢㜷㜷㜵㐰昲㔴㘱㜴扦㈷㉤晦㥤㤲㤹愱捣㝤㠵搱摥㈹ㄹ扣㔳㌲つ挸㠴挸㌱户㙡摡捥㍢㈴㔴愳㤵〷挷㘴挹愶㍢愴昴㙣㘷扥ㄷ挳㙥㌲㌴㜲扢㝡㐷㝣扦㔶㕤愲㘷ぢ戲㔲㤹㤶ㄶ㔵㌴慡㘳㝥戰摦昴慡㝥㔷㤵昶㤳㥥㜴㑡搲摦㔴扤㘱愵㈴㉢㔱㐳㍦㔳㍤㘸㝡㔳㘶㔵愶挹㙣慥㠶㍥摣㕢㤶㑥㘰〷慢摤搵〳扥㥣㌶㥤㜹挹㈶㕡㜵扣㘶㤷㐵㍡㡤晦㠹搴挵敤㐶愶ㅣ㠵昱㔴ぢぢ愶ㄷ愸ㅣ㕤搸摦慥㙤挳㜴㔱㕡㌴㡤㡢㔳㉡ㅦ㝢㡢㍥㥢戱慢㌷㑢捦㤱ㄵ㜶㐲㌵㜷挴ㅡ㈹〳㠵㝥㔸戳㔴㕤ㅤ㝡㐹㜴㐶换㠱扡戰ㄷ㍤ぢ㜲改戸㔹慤㥡㍤ㄳ㙥挹愴ㄹ㠷晡㝡晢〶〶㝢㘶㑡㘶㐵㤲㔷㤹〵㜳㐹づつㄸ㥤㘸㙥㜴昱挵㙥㤰㜳昷ㅦ捣㤷㕣㍦挸㥢㡥㔳㌳㉢㜹㑦㤶㙢㙡㡤攵㍤㌳㤰㜹㘳ㄳ㕢㙦〶ㄱ改愳㔸㤸㡤㥤㔳㔰戲㘸㈶㡢㜳挹㘲㈹㔹㉣㈷㡢㌲㔹戴㤲挵昹㘴㜱㈱㔹戴㤳挵㕢㤳挵㐵戴愹愷㑣㐷㐷㌲㑡て晥㜷敥挰㙤㘷㍥㌷晥散㑢捦扤昸昱㠵㈳昷ち慥㐵㑥ㄷ晤ㄴ㤰㡢㈷摣昹㈹搷慢㘲㠱㑤㑡搳ㄹ敡ㅦ散敢㤹〹捡㘳㜲㜹㘸搷㘰㠳㡥挶ㄶ㌴㌶戶昲戵㙤㈰㕢ち晢〶昲㑢㥥㕤㤲㜹摢挹て昴つ昶攵㡤㔳搹攲㌴㄰㈱㕥挳昰愹㐲㜶敡扥㕦㤵晥㍤㍤昵捣て㉥㑢㝥晦昰㌷ㅥ㄰っ〱慡敦搳挱昴捣㝡㌶收㑢慤㘲㝡㍤㤳戶㌳㌴搰搷搷搷㌳㘱㉦捡㡡㉤晤㘰㘸ㄷ戳㤳收捡㔰㍦㉢㡣㌳㈸晥㑣㄰晤㉣㤰摣㡤昵晥户㑦㍡㤷㑦〶㜹攳㙣搶㥦〳㈲挴㥦愲敥ㅦ敤捣挸摢慦㝡昲愶扢㜷㍥昴昹敡攴搴ㅢ㕤攷愱晡㤶挸愷㘳㥥㜹ㄸ慢㘴㝤〱づ昴挲㝢㈷ㄲ㜹㄰㜸慣㐱㙢㤷搵摦㕦ㅥ散㌳慦㌰㌵㝡攷㐴愷㜸づ㙤扢慣㐳戶㔳㜶て慢㌹㝦昶愸改换昵㈵戰㈳慡ㅢ㜵㙢㑥搹㍦慢㝤攵㑣㠰〹㜳㘶扣㙥㕤㐸换㙢㌳㠸〸搲㔷晤㥤ㅢ㝦敤愰㔹愹挹㤱ㄵ㍢慣㍥㈷㔶㡤㜸攰捥ㅤ扢㜶㡦㈷㙦㕢慢㙤ㄹ搱〸愶昷戲㤲摤愲㘵㔸ㄵ㡥㉢㕦㔸㜰㝤改愸攱敤愸敥户㑢㡢搲㥢㤱摣㠰㘴㔹愹㝡㉡慢愲愰戴㘳㥦〳㐵ㄱ㘶捡ㄷ㌴㤶㕡㌷慣〴搲㈹换㌲挶扢㈴扤㘰㜵搶㥣慢挸搳㥡㥡㠴㝤愲攲㡣愶攲㍤㙥愹收ㄷ㕣㈷昰摣㑡㜳捤㐸㜹搹㐴㈰㉣㑦扡㘵㠹㌸㤶㘶㑡㠸㐴㉡㈵㐴攲戲㜶挱㠴㜲晤㕥攵㠸〶ㄷ㌳慣㥤摥㍣敤㝡愷愱ㅤ戴愸㐸捥挹攴昶攳〸㔳㜲㈹收搲㘳㌷㙣搰㠹扢㌵㕢㕦㜲散搶㙡㡣㙢㥥晢晦㌶㑥㈶户㐶摡摦戰㡣捤攲㐶搳㈹㔷愴户㈱搶㄰ㅣ㤱㤱〷搱㕥挶㙡㍥愶昵ㄸ捣挴㡡㔸搵づ摢攵㘰㐱㕦㤰昶晣㐲㠰㌲攰㤱㑣㠶愶㙤㐹挶〵㈸㌲㉥㈴搹づ㤲捤㈶昴㡢搸㐸捦ㅡ敦つ昳ㅡ㈳昶㕢摦㠶㠸㜸っ戵敤〱愳昸㕡㜵㡦敢昹愹㔴㍢㉤㙦㌴晤㠵㠰搳㜳挳㑡㙥㌸挶挵㈴㤷㠰㘸摣ㅤ㡥扢换㜱昷㐸㜳㌳敦慥㡥㐹换〴㠴㔲慢㕢㤸㕡㌵摣㤵挷愴㕦㌲戸㝤敦挵㕡㔹搱挱㘱昱㜷㔵㌹晢攵㑡㌰㘶〶㘶㐷ㄵ㐰〰㕥㌲搰㘸㠷㝡㉢攴昸㘶户㉡慢扦㥤㡤㜲㤰㤰㔳㙣㠳㤴㑥㔵㄰㑡挲挲挱㝡㐹愴㈲扡戱ㄲㄸ㍢户㙡㍤㍥搱㥢㌷㜴攰㡣昲戸㜴㘶㔷㤷愴捦收ㄹ㝤㐳㔳挶㤷ㄷ㠵敤㉢捤ㅤ〸散㡡摦㡢㤱㡥㝢㙥㙤改ㅤ㤵㠳㌱ㄹ㤷㠲搴㤳昶ㄲ㘶昱㠹敢㐴㉣摥戱㑣摦ㄴ㡢㤸捡挸戱挴㈰㡡㌰㌸㕢㈱散㑤㍣㔴㌲㜶攲㤱摤愸㑥攳戴㜸㉢攰㐷㈱昵㉡㉣㌴敢㐹〵攷㌲㉡〳㙢㜷㔷て戹摥攲㥣敢㉥㜲㍥㙤㔲㌹㝦㐱捡㠰㄰愹㌳㠲㠴ち晡〹㤱㑡㌵㐱㤸〶㉣㐵㜰愵昷㠳㜴㡦㔴㉡昹扡㐴㕦ㅦ㐰㔱ち㘰㑤扦〲捣昹㠵改挹㠹㍤㌷㌲昶㔶㜶ㅥ摣㜹㐵敦挰捥扥㕤㍢晢㜶敦ㅣ攸ㅢ戸慡㜷愵攲慦㠸㥦挱っ挴ㄹ㉦㍦晤挶㝦㡥扣晡搸㑤㑦摦昷昴搱搱捥愹㕦㡡㥦㐶ㄵ㉤攰㠷㌰㐶愱戲慢挰㠸ㄷ昹㉥㝥攰㥢㤳戱ㅢ㜹攳㙡㤲㙢㐰㄰㈴㤴搹ㄱ㈳慥ぢ戳㠲㔰㠸㜱挲ㄸ㈲㜹ㅦ㠸㈰〰㔲ㄸ敥㝡㌰昵㈴㕥㠰㝣㍡㕦㌹㤰搸愹搵㠱〵㤴㘶㡤つ敡〴㘱ㄵ㥤㘸搰㘸〶捤㘴搰㐴攲㘹〸㙥㙢㠰敦㐵ㄵ㉤〸㡣㌰㑡ㄹ㘰㠲敦㍦㠵㘶㉦攳〷扥㌹ㄹ㔳挸ㅢ晢㐸昶㠳㌴ㄸ㘰㍡捣ち㐲㌱㘵㠰ㄹ㌶㥡〵ㄱ㠴㘰捡〰〷挰搴㤳㜸〲昲搷っ㐰散搶㙡㠰て愰㌴㙢㙣㔰㈷〸散摡ㄹ攰㔱〸㙦㙢㠰㐷愲㡡㌸〶搴昲㤰昴ㄶ昶㙥㘵㉢敢愰㉤て㌳搸㙣戲㜰挸㈹搴晣挰㔵㤱戱摢ㅡ㜳愷摣㘰捣昶㤷㉡收敡㔶㉢㘲づ㉤㐸〷戸挵〳㝣㠹㤵戹㑢㑢戲㙣㔸㌳㙥捤㉢挹扤㘳敦〶㕣〳㜳挰㜵ち搲㈴〵搲挹㙤搵㐰摤〲戳〴㈹愱㜱㠳㡤㐷㕣㜵搴㙡㐰㐷㡡㈵ㄶ摥扣㙥搱㔹㍢愸挸㑥㑢㈱ㄳ挵㘷㉣㔸戱戴㈸换ㅤ搶散〲㈲搱㔸户㌵敥搹攵㡡敤㐸㍡㘳㕢搸㜴㐲捥〳昸敤㜷㝤㥢挷戱㙥㙢搶㌳ㅤ㝦㠹㝢㔸㘹㜵㑢㔳㑥㙤㜶㥡㌵㙡㍢㍥扡㔱㕥㈴扦搹㥡㔹㜰て攳捡愳㔶㜵挶捤㈵晦㕤攱ㄵ㠶㡢㌰㈹搷㠸愴㐸㈶㐵㈶㤹㌹㔹晦攸㜳㤰戶㐵ㅤ㕤昳㤸愶㠱㘷捦搵㘸㉦搵〷〳㑡㥡㐴戹㌰愱ㄱㅤ挵㌷慢〶て挶㤰㈶㠷摡㜴㙦搰ㄶ昴慣㕤㈳㈹㘴㔷攲㍢㘵㤰㥢挶て散㕤㍦㠳扤慤ㅢ㈰㡤㜸敥㠴㈱慦㡡搶攱っ㈲っ收㠴挲挲挴㐴㘰㉥㍥㉢戳㤶㙡挳〹扡㘹㥤摤〳搴搴㘵㑤㤸㜳戲〲戰㔷㌵㠳㑤㘱㠶愸ㅢ㈷㙡㍦慡㉢戸戸㉦攰㡣攳㍤㠷扡㈷挸㔸㈳戵挰挵㤹搷戰㐰搴戴㡣㡡捣ㄵㄴ㤹㉢㈱㉣戳愶㜹〸㔴㍣㘵戹昳愶㘷〷ぢ㔵扢㤴㘱㠶〷戵㜷挵㔴㐵昸㐸挳昲昵㔴て㈵㜱㥣ㄷ愲㉤戸扢ㄷ㐷㈳㥡㡥敥挷㠴㑥ちㅤ晦挴㐹㥥ㄱ㄰㜸搴㝥㘲㔸㤰愶ㄱ㠳㌳ㄲ愹㜴戴㝥户㜹昴づ㤴愸搸㈴〸昱㔹㙤捣㐷っ㌳㘹愲散つ〱㈴攷㙣㜶挲㌵换㝢捣ㄲ敥㉣㍢愲ㅢ换っ㕣换㐸攳攵〸改ぢ㐰㉡㌸㝤㉥摢㘵改㘵㔸㌰㠳㍢搲㌴て〳㝡攸㐳㠰㥢㔴㐲搳㍡㌳敤晡摡㕢㤷戵㍤〲㑡㡤㜷戰㝢㕢攴扦㝥换㙥〵㌳戲搹ㄴ挶㘶㉣㤰搸㈰攲ㄲ㄰敡ㄳ㙢㜰㉢ㅢ㉣㠲㘸㠴愵㜱摦㌴愳㙢㘰㜰㈲戴戴扡敢㈳敥捦〰㈳慢〳㠳愶ㄴ改㙣〰晡㝡㠸昱㌳昵ぢ㐴㝤〶戳㕣㤶戳㘱㜸攵㠱㠲敥㐸㈶搳㜰戵ㅥ扦㈴㘹改ㄶ挲慡㌳㔲㥤〰〴㔱慦㕥〱戹㤰㡢〵昲㡢昵晢戳搸挵搹㡦㥦挹昷户㘰㡡㙣搶㔰戱㉤㉢〸㡦敢〶攱㤵㔷㌶㑢㙦ㅡ㉥挹ㄲ㠸㈰ㄴ捣攳搷戰㠷〹攲㍦敥㘳〹晤㌶㤰搳戰摣ㅣ㜵㑢㜶摣搸㈹〸ㅡㄹ㍦つて㐴㄰㍤㌲㉣慤㑤㔳ㅥ㑥㡦㍦㑤㠹㌲搵㌴慤㐵っ㌳㠲㔰戳慥〹㔸㘸愲㝣扦っ搶㌸っ㈲〸㐳摢㌴㔸㘱㠳㔵㌶攰㤴愱晦昵摢㐱捥慤摢戵昵㌲敦㔸㈶晤㈸㕥㑢㘴㐵〱戴摥て㌷昱挸愴ㅦ〳㙢㝣ㅣ㐴㄰㕣收昱㙢㌴㈹ㄱ㘵㘸搲㍢挰扤㘷晤昲敦昸㌶㈵づ㔵㌶扤ㄳ㡣㈰㈰㙤戲改㈷㔰㜰㝣㥢ㄲ戸㉡㥢摥ㄵ㌱捡愶㐴慦㜵㔵挰搶㙤㝡㌷㔸攳㤳㈰㠲挸戶㑤㠳㝢搸攰㔳㙣㐰戰慢㙣㝡㉦㤸㜳敡㌶㐵㕣捦㐷㔷㤳㌰收攴愱换ㄷ㐰摡捤搲㑦攳㉤㤸㤴㄰戸摥つ㠱㙥㘴搲捦㠰㌵㍥ぢ㈲㑡㈴捣㝤㉥㘲㔲㜸㙡㡣㝡昱挵摣ㄲ㘸搳㘸㤴戵ㄸ㜲㘷㠲搵ち戶㌹戲㕣摣㈱挷㌰ㄵ㔶㈳攴戸ㅥ㍥〴愵攳昷㉤㙢敦㥥〷㔱㥤摢㘲㜷㔹敡㌵搶㤴昱搳㍣㈰敦㘳扥㑦つ搶て戶㝣㠷㐹晦〲挸戶㐹扢攴戹扥㙢〵昹ㄹ㈰戸㍣敦〶愱㕥摦㠸戶〴㠹㙤晢愴㘲㘹㠷㥦ㅢ㤶㜹㔶捥㉥㍡敥㘱㐷㡤㐶昳㜹㐵慡散搵搱挱㙥㜸㜳慦搲㠵戰㘲㙥ㅥ㉣㕦㌶敥〳改㑥攵ㄸ㍥㤹㜲㜶昸㑣攴ㄸ㉦㤹㜲㡣㤹㑣ㅡ挳挹㠹〶㌰捡ㄶ㜳愲㈴捡㐲愶㍢㍡挴㐵戱㡢戸㤶挰户㜶㤳愱敢㡣㝢㥡〳㤵㑦散愵㘶㡢昲攵づ晣㡣晢㐹扥〴㤲捤㌱搲㜱㐰晡㤷㐱戶ㄴ㐶㡢㌸㘱搷捦摣㥣〵晡㔷㔰摥㠵㜲ㄵ摣昱㐹挸搷ㅦ㐰挹㈶㤴㌴㈰㍤晤慢㈸㍢〵㘵捤㥦㝤㜲っ愱捡㤴㍣㤰慡㡦ㅤ攱㘷㡦㠷㤰ㄵ㉡〶戲晣㘱收昰攳愴ㄵ㡣㠱㥣戸㘲づ㕡㜲扡㠰㑦ㄸ㥣〳㜴户昸㌰㑡攸昲㘶㤷㌱ㄲ慡㝥扥づ〶㉥㘳搴㘳捡㌱昲㌱攵ㄸ收㤸㜲っ㜵㑣㠲攱㡡㙥ㄳㅦ㠲㌸㥡㔴〹㜸っ㈵挶攳㈰搹ㅣ㈳㤶㉡愳㘹っ摡挱愰敡〶㜵捤㌱㤲愹㑡愵搹㔶㤶㙦㈱㜹ㄲ㐴摣㐹挲摣㌷㈳㐶㘹挶㐸愴㌴㥢㐶㘷慤㥡敤㐷㘹慢㘶㜷攱㈵搵捦㜷挰㐰戳扢昱㘰捡㌱晥㌰攵敥〹㥦㠹ㅣ〳づ㤳㘰搴㔰㥡㑤㐵㥡㈵㔱㘰㍣㐵昲㕤㤰㙣㡥㠱攳㤸㥡㌱愰慣㙢挶㤳㝣昸㜹攵㔹㜰㌹挶ㄷ㔵昹㈳㌰摤㈹㡤㑢攴摡搸晣㙤㝦ㄸ搸ㄱ扦㠳扦〱㜷敡慢ㅣ㔹ち㈸㈸挴づ改攴㌵㈷㈷㡢㉢㠴㌳㥢㍦㙤ㄴ㕡扦つ㌹捤㙢㠶ㄲㄹ㈲㡣攷㐱㌶摦て愲㐷㍦㍣敡改攸昵ㄱ㌷ㅣ㍥㌳搱㌳ㄷ㍤户つ㙦收㙡㔳㙦㝥㔰㥣晦挵ㄱ敤㡦㜷㍣昲捦㈷慥扤攸攱㙦扦ㄹ㍤敦㜸昰㙢㉡㕤晦㤱㙤摦ㅡ㝦攵昶昲㥡㐴挱戵挲愰ㅦ扦摥ㄹ㠲㥡㐷昱㙢戹摦扡㉥慡㠸摦㙦攵戸捥㤴昳㝥〲愶㍢㈵戸㔸攸㐰㜱つ摥愰搵㤴愲㐷㔰戲㤹换㐰挳㡦㐳㙥㐸㜱㐵户つ㠷㤵愷て㙦㝥ㅣ㕣搳ㅢ㜱〵㔵换ㄷ收㠶挳攷昴戰攰㔲㘹愷搸㘰㌴晥ㄶ挵慥㡣㉡攲昷㔶㌹㉥㌳愵搸捦挱㐰㌱慥ㄵ愵搸㐰愳㘲扦㘰㝦㕣〵㈷攷㐱㉥㥤つ㍤㠸晡㐴㘲昸㤱㘱昵㝣晦て挳攷搲㤱㘱挱㤵搳㑥搱㥤挷㔲戴㈷慡㘸戹㥦攲慡㍢摥晤㔴挳攷㍣㜶慡㔹っ攳㥤㔶㔸捣㠵㠲敤摣慥㔴搴㑥搸㠵昳愴㠷て㙡ㄳ戸㌵挱㈹ㄲㅦ挵愳〰㡥摢ㄴ挲昳晡㠹挵㔰㌹扥慣㕢晢㍣ㅣ㘱㍡慣扤㍥㙥扢捡ㄹ㝣㄰〸〲㝣㐸㝦㌷ㅣ㌶㠱㑤搲っ㈸㍣㑡攱㘰㤱㙣ぢぢ㌸挷㌷戸〷㔸户㐷晤㍢㔹㤲挷搰㤳扢昸搲㝦㡤捥愲㝢㤵㜲挳扤㑡㕡㕣〶て㠷挱晥捥挴㥢ㅣ㌱㡥㐱〹攳㌷㜸攸扦〵攱㍤户摡㐱㐰戲挶敦㔰ㄲ㥥㘳㉦〲㤷搰㥥〷㠹敢㐶㥣戶㠷捡挷㍥㜶㜵㜶㔲攱㝡ㄲ㕣昹㥣㐴晡敦㐱ㅡ㑥㉥捤愳摢摥㜶㜴㝦挰㉢〶㐷户㍥戲㤷㔹挴㐱㈹㤲㄰㡣ㅤㅣ㕤㍤〹㉥㐸搵摦㉢㘰ㅡ㘱㝤㜳㠷攷戶敤昰捦㜸㈷搶攱㕦㔸搴搰㈱搷㜴㘳㠷ㅡ㑤㜸挲敥㘵愸摦㡡㠵㄰晤㌹ㄳ㉦㑤㜶㔴昸挷㑣敤捥攰捤㜷㔴慦攲㔵㐱挷㔰㠶昱搷㠸㘱㐶搰㑥ㅣ㠶昱ㅡ㜳㌴㤱㙡昳户㠸㔱㙤愸㥡㙡昳㜷㤶㔲㉢搵收昵挶㌶慡ぢㄴㄸ㙦㠰搴㔳㡥㕤愹㔸昷て㌰㠸㜵慡ㄳ戰捤慤搸㤹㙡㜵㌴㙣愵扡㘹㘹挵敥㔴慢㝦愹㔶戹㝡㐷㠲戲㔵〰敤㠶㘳戸㌳㡣愲㈰㈳ㄲ㠲攲㔴㐵㔷慣㠲ㄲ㔴㐵㘷㜳㐵攷晦〰愳戰㜷愷</t>
  </si>
  <si>
    <t>㜸〱捤㔹换㙦ㅢ挷ㄹ摦㕤㜲㤷扢㈴㈵戱戶昳㙣搲搲㑥㥣㌸㤱挴㔰戶攵㐷㕣愵㤶㐸㑢㔶㈲㔹戲㐹换挸愱㈰㤶摣㔹㜱愳㝤㈸扢㑢㠹㙣て敥戵攸慤户ㅥ㡡㕥㝡㐹㔱㈰㐰搰㕥昲〷〴㐱搱昶㕣愰〵㥡㔳㡢〲〵攲昶搴㥢晢晤㘶㤷ㄲ戹愲㘵㔹㜱〱㡦愴搹㜹㝥㌳昳㍤㝦㌳ㄲ㐴㐱㄰ㅥ㔲挲ㄷ㈹㡤挲㉢戵㕥㄰㌲愷㔴昱㙣㥢戵㐲换㜳㠳搲扣敦敢扤ㄵ㉢〸㔳㌴㐰㘹㔸搴ㅦ挸㡤挰晡㈱㔳ㅢ㍢捣て㘸㤰㉣〸慡慡㐹搴て㈲昸㉢昴㉢ㅡ㘶攵搳㤴搵㉢ぢ㙢捤㡦㠸㙡㉤昴㝣㌶㔵摣㠸收捥捤捣㤴㘶㑡ㄷ㉦捦㕣㉡㤵愷㡡㤵㡥ㅤ㜶㝣㌶攷戲㑥攸敢昶㔴㜱扤搳戴慤搶〷慣㔷昷戶㤸㍢挷㥡攵ぢ㑤晤攲㤵㤹㡢戳戳收搵慢㔷昲戴戴㜰慢戲戰敥㌳㌳㜸㕡㌴ㄵ搰㕣慢㉣㤴㙥戱昰㘹搱捣㄰㑤㈲㔹昵ㅣ摤㜲㥦ㄲ㔱ㄹ扣㥤慤戲㤶〵㈱㌰收㕢敥㘶㠹戶㍤挴㘸慡㕤㉥捤〷㐱挷搹㠶㍣㉢捣戶敦㌰㔳愵㤹㥡㔳つ挲㜵摤㜷㠲扣〳晥㌱㥦戹㉤ㄶ㡣㍢㌷扡㉤㘶挷〳〳搵搹搰晤㕢扡挳搲㈸㑣㌸㤱っ㤷つ收㠶㔶搸ㅢ㜳敥〶散㡥敥㙥㌲っ㤱㥤愵㡥㘵㠸改㌴晤ち愹㌷㐷敤㡣ぢ㡡昶攳㔴摡扡ㅦ昲ㅡ㐴㌸㌳㙡散㠰扡昰㔳っ敤ぢ㉡㔵㑣捣㠲捣㙡㤶昳〱昳㕤㘶㘳ㄱ㐸㜲㌲㌱㠸㌳㈸㤲挳ㅥ愷晡挷㠱㤴挴㕣㙣〴㌸ぢ㔶㔱挰慣㌷敡扥㐵挷散搸扡㍦戵㙡戹㜳㤷捡㔳㉢搶ㄶ戳㉤ㄶ㠴㜳㔷捡㔳慢㝡㜷㙥愶㕣搶㌴ㅡ慢㘵㌱㉢㐷搹扢㌵㍡㈵㉢㝡㘶搱㜲㐳收㍢捣戰昴㤰ㄵ㜵搷㈸敡挶㡥㑥散㌶㡡㌶摢㘱㜶㠰㌱捣攸戴㜴〸愹㜸敥散㕢㕡ㅥ㤴挶㈸ㄳ搳晦㈱㍢ㅤ摣ㄵ㐸㑢つ㕤㙡㌴愵㐶㑢㙡ㄸ㔲㠳㐹つ㔳㙡㙣㑡㡤戶搴戰愴挶㐷㔲㘳㡢挶昴㤳㥡挹㐸㜱㌲晥昹户㡢昵て扦㝥晦㈷㝦昸㉣挸晥㑡晡㌸㍦㐱㠳㙥挷㈷慥晡晡㉥改搰扥㝡㥥㉦㤵昱昳㜸扢㈴戳㌴㘷捤换收捣㡣㌱㕢搶㉦攸㌲昸㜰㔴〵㈸搰搸扣㜹捦㜲つ㙦㤷㙢挴㉢ぢ㝡挰昶ㄵ㘴㌲敥㕢昰㍡慥ㄱ㝣㝢㜴㘷㉤㈴捥扥㥣散摢㈷㜲㘰㕡㡤散㠵〵㝣扤敦㈴愷㙤攸㜶㠷捤㜷慤愸晢搵㐴㌷㔹㡢搷㝣㜴敦愲捦㍥摥敢㍤戰愳㜹㜲慢㍢㥣昶㠱㔳㐶㕤搱扥㡡㤵戶ㄷ㌰㤷㙦㙦搲㔹户㕡㕢捣慦㌱㌸㘵㘶昰愳㍥㠷慥搸㘴㈷搷㕣㍡㈸ㄹ愱㜱㘶戰搵扣搱つ㤹㙢㌰㠳昶扢捤晣戰㔷搷㥢㌶㝢㝥㘸㐸戴㈶㜵扣㌴搴扣攸戵㍡㐱挵㜳㐳摦戳㠷㝢收㘳扤㕤昵っ㐶㔶㥥㐶㈲㤷㥦㑡㠹愲昰昶㈸㔳〳摤愰挴〵㌱㈰㘲ㄸ晤㡢挳㙡㔷扡㐳愷愳㔳搸っ㍡㈹扤晥ㄸ㘲㥣㉥挸扣昵攸㠱〳㘷㐲〴挳攸㜳㡦ㅥ捤昷戸㈷戹晦敦㘰㐹㍡ㄹ㥦晥挶づ戹搲㥢攴ㄲ㙣收ㅦㅡ㝦㐵散㐸㠳戱挸㕦㤳㐳㜸㈴昷攰戳挴慥搸㤳㜷㉤㈳㙣㉢㙤㘶㙤戶㐳㙡愳ㄸ慤慡㘰敤㠱愴㥤愰㈶敤㈴戲㔳㤴㘵戳㠲昲ㅣ〶㈹㔹敤昹愸㉥挳愵㍤戹㤳〶ち搰㜸㔰愰〸ㅥ挸捥愲攷〷愹搴愸㔳摥搴㠳㜶〸昵㍣戴ㄳ㐷搳㕥㐰昶㈲㘵㌲㕣攴㘳㘳〰㑥㥣㐶愸ㅢ㜳慡捣搴〹㘰㜰敢ㄶ㜵搹㠹㘲㔶㤵〵㉤つ挱㙤㤹㙣愵慢㔰㠹㡣㍦敦㐰晢㔹㌷慣敡愱㥥㜱㈸㑣㤲㤴㌴ㅡ㌴挹㘷㐵㈵捣ㅣ攳㙤晤搹搹戸㐶ㄴち扣㌸㐰㈵挷ㅢ㈲㑡㘴㌸㘴㉦㐲㉡捥て㍦〴敤ㅤ㠱㑣㐹㉡晡㜰戸愳㈸㙣㉣㌱户摥摢㘶〱㠶慢捡愱慣㑣㥡ㄷ㠸慤戵㥡㜷㐳换づ㑡戴搳㈵摦敢㙣㍦㑤㍡愰愵扤㐴㔹㍦挹㝦㈷㉤㍥晡㤹〰㉢㌳㍢㤰㑤愳㐱㠷愳ㅡ㕡㌴挴㐲つ摡㑡挴ㅥ搲㠷㈷敤㔵晡㘴て敢㤳ㄱ㔹㥦〴ㅡ挰昸昲づ㜱愸敥㌳づ㜶㔴㕥㈱㙥㡦㌹昷㍣㝦慢改㜹㕢搰愷㜱㕥ぢ摡㡣㠵〰㄰戹ㄸ㌰㜱㘰㈴㡡愹搴㔰ㅣㅦ㐰ㅡ㠰ㅥ捡㘹捡挶收㙤扢搸愷ㄸ㈸㘷愸㈹〵㈸昳ㅡㄵ㑥㔷敥慣慥㉣摥㠴敦戵愷㌷愶㉦㤴捥㑦㤷㉦㑦㤷慦㑣㥦㉦㥦扦㔴敡摡㐱㔷晣㉢戱〱㜸攱慢㝦㝣晥昲愷㝦晡㔱攵㌷㙢㝦晣昹㥦搳晦晤愹昸㤷戸㈳㠹〰㘴㜸㤴㈷昰摣㥣攱收㠶挵㜶愱㙡攳㈶〱挰㑡㈷〸㍤㙥ㄷ㘳㘶搵扢攵㠵㔵㉢搸戶昵摥㐹㌳㉥摣㙢㌳㤷愲㤶㑦挱㉢搱收㙤㙦㌳㐳㌳㙢㕥挷㙦戱攵敡戳㄰搵㠸ㅤ愴㕢㍣愰㐹㈲愵攳㌹㙡㠱㘶㤲㈷愵㈴挸㜰慦㐹㝢攳㌰㜴㈰㌶昲㈲㐴㌱戱捦搱扡ㄵ摡㉣㘷昲戸挴换慡㐹㕣㈴㈸㘰㘴捣㝡㥢昴戰㍡㘶㉥昹㤶㘱㕢㉥㠳㌰㑥㐵㐳㔷搸㈶㠵晤㜵㉦戰〰㈶挷捣扡慦扢挱㌶㍣㔸慢㜷㘲愸挶㕤㥤㙣㉥㔸㙥㐰换㜰㈹愲㍣㘱搶摡摥㉥㕤〲㍢㡥扢愴㙦〷捦㠴㔴㘰敤㔱攲愲ㄱ㈵㔱㤲㐴㔵㔲㡦㉢ㅦ攵つ愲昶挲㍥慣㉦㤲慥㠶扥搵散㠰㘹㝣愱昳㤴愷㤱㜱㌹ち㌲〲㘴搲㕦つ㠸㌱〱㌶戰摦愱㡢搵挸戸户㜷扢收挱晤㑤捣㌹㐷搹晢㑢㜷㤷昷㘱昸㌷扡㈲换〸改㐷㐶㍤昰愴攳㤱ㅡ〱〹㐱慢挸㍡㐹ㅢ㔰㑢慡㘶搶攴㘳愰愵攳晢挵㐵ち㥣㜹㜳㐵㙦㌲㥢攲扤愳㠷攳㔱〵挰换搱敤㈰敥慢㜸㡥愳㐳敤㜰ㄱ慣戵㜴㥢愹收㝣㈷昴攸㜶愵㤹㤴㜱摤㡣㥢昴㉥㌵改摤㈸㌲㥢㜷㜰て攰㘵搰昲㌶㜵摦ち摢㡥搵㔲㔱〱㔶㝦㈶昴ㄵㄷ㌷㘲㘶㍦昵晤㐹㌲搴㐷〱㤷挴㕤㈲㜴っ搶㐱晣愴搵㤲愸搰㡦㜸㑣㤸㐸摥㠷〷㐵敤㙤愲㈶昳挷ㄸ攰つ愴〷晤㈷㥦〷昷愹㠵㍢㈸ㄱ㈸て摤摡㘴㕣㐰㈵つ愰㜵㈸㠶㐰捣捡慥㜸扡戱愸户攸㔱㈷ㄳ㍦改愸㈴㕡戸ㅢ扦〰㔴㔷愱㘰㐵ㄷ㤰ㅤ换㘰扥㡡㠶ㅡ㍤ㅤ愵㠱〷㤵㐸㠶ㄴ摦㔲㠲㉣攷搴㔱㙢㉤昷㘹扤ㅥ挷捡挱愷愹攵〳昴晦㜵晢捡昷㘹㔳㜴㉣扣㡤㘸㔳挸愶㈹ㄳ㠱ㄷ㜱㥥挴㠰ㄲ〶扣㐳㤹っ㘴㤲㤴捤㌰挰㈲ㄸ㠶㕢㙤㥡㍦㠶〰晡愹〴㤳㌸㘶㤴昹㐱㜲〳㔸㑦㠹㘰㥥摡㝦㘱㔱昸㐳㠰㤱㡤㝣㉣㌰㈵挴㈱㐹㘹ㄲ戵㤲扣㈷ㅦ㔸㤶㠸㌹㌵挶㐱愰〸攰愳㤴㈹㝢て挶㐲昴ㅢ挷㝢㘳㌸㠰㤹戲㔹㉤昲㜵㈲挰㔳㥦㔷攳㔴捥㘶㈱㘸敤〲戲㡢㤴㠹㜰㔳㕣㕤㘶攳〲㤸㉤㐳搵㤲ㅣ㍣愰摤㌰㠹慣〹㍤慦㠵㍤㥢㝣ぢ㡡攰㘸㔴㠲㙥㐴摤㈴㘷捦愷㐷挹㜴昲㥥戳㌷ㄷ挰㍥㜷㉡㜱㠷攴搳搰〳㌳㤲㝦㑦㤸攷㤱昳㜱㠲㝤㐰㠹㌹㐸捡㘵捡㑥慤㕡㉤摦ぢ㍣㌳㉣搶㈸㜶ㄶ㜱㈷㌷〵愱㍣㉦㝦㐹ㄴ㐷慥㠹㠳愵㕤㍣㠲敤〰愳㘶户㕣㙦搷攵扢㤱〳㍣㑤㜰㝥㘵㌲㔸〶㜷㈹㥥㕥㈳㉥ㄶ㘰㜲晣㕥㜳㤵ち㘳愹〲㜴ㄶ愹〰扤㐵㉡㐰㐹㤱ち敦㐴㕦㐱㠶愰㡥慡㌵愰㉤㌶挵㤶㘸㠸㉣㥤挹㠸㘷ㄳㄷ攰〳摡戶㜷㠳㔰ㄴ㈸㥢晣〵ㅤ昹㘸㤳㠶㌹㡡挹晣〲㜸㡤ち摡昷㈸换ㄶ愰㐳搸㤰㌲㐷搹㠹捡㐲㠳㤰㙤ㅦ敢㐲ぢ㤴昷愸㍤㑦敤摣愲攸愱㌲㔰㘰捦摦愲㤶攱㠷㐷攵㍡㌵㡦㔳昳㐰搴㉤㐰㌹㌹㉢㠱㤵昹㉢㥣㔶㐱〹㘶㕢㠰慥昲捥ㅢ㔴ㄸ㑢挹㘰昷戵〴㉦㐶㐷昳挹攴㍢捡つ㝡ㄷ改攱㘸㈹㜲㘳㤱昱愷愵㜷㡦㐷ぢ摣㐶散攷㝦㥦ㄳ慢扦〱㥤㘱晥㠳攲㜷改㑦㕢愲㙣〲㐲攰扥㠳扥〳改〱㜷㤷搴㜰㍤㙡㔴攳㙦㈱晥㥥扡㍥〱挹昱㤹㍦㄰㑦晦㙣㕥晥敡晥㉦晦晤敢㙢㘷㝦昱改挳昸㝢㍦㥡㜹㉢㥥㔱㡦扦ㅦ㕥ㄷ挱㝣摣戳戴搳挸捥㈰㠳㘴挴摦搱㌱㐷摥㔱㝥ㅢ㜷ㅣ戸愳㐰㘶㡦扢愳っ㍣攸挱捡㘴ㄳち㤵㌳愳㘶戰㤹ㅣ㡢㘵摢摣㈶昳〴㈷㝣㝡㔲㕢㈱攴㑣㈰㠲ㅥ㡤㘳昵㈲㐴つ敦摣て㔸ㅡ慦㘱戲㘲慥昹ㄴ挱㌲收㜲㐰㌷ㅥ㐳愵㈷㠱㤰㥥㜴摤㘷〱㙢㤰㤷㑣㐳ㅤㄱ㐹㈹慥㐸㈳ㅤㄴ㜸㜲〸っ摣攷㐷晦愵㑣〲ち㌹摥攵㐷㔹愵挵〶戱戵㌱㠰慤搳攲㘷㈴㘶㌸搲慣昰㘳攱㈱戶つ㐷愱慤搱㐷㔹愷っ搷㕤ㅥ㕦㈸换㙡户愹㈵挲㌲挰愶㠲っ㙤㑥ㅥ㄰㘱㘳ㄱㅣ㐸扣㜹攵㜲㌸㜵㍦挹㔸攱挸㉣㠰㌱㥤㈴㘵㠹晦ㄱ〶㕣㌹㘹攳摦㘰愳㘰捡㌰㡣慦搱㔴ㄱ晢〶つ慤ㅥㄷ㔰ㄱ㜹ㄷ㕡敦㔲搶㑦〵っ攱扥㘹㠳ちㄴ〳晡㥤㈲敡㜰㔴攲㈷挴㉥㜸㠷〵慡愸愲㤰晢ㅦㅦ㠴㐹㐳</t>
  </si>
  <si>
    <t>TFP annual growth rate (Old Sector)</t>
  </si>
  <si>
    <t>㜸〱捤㕡敢㙦ㅣ㔷ㄵ摦扢摥ㄹ敦慣敤㜸㥢㐷㘹㥢愶摤㐰㈲摡㍡㔹扣㠹ㅦ〹㔵㤴搸敢㐷㥣㌸㉦慦㥢㤴攷㜶扣㝢挷㥥㘶㘷挶㥤㤹㜵散㤶ㄲ㤰ㅡㅥ㐵㠰〰〹〹㐱㈹㐲㠸㐷换攳〳㐸ㄴ㔱昸〰〸㈱昱〱㈱昸㡣㐰㐲㐲〲㈴㕡晥㠱昲晢摤搹戱㜷搷ㅢ攷搱㈰攵㈶㝢收摣搷㤹㝢捦㍤攷摣摦扤攳㠴㐸㈴ㄲ㙦㈱昱挹㤴㈲昳㘰㘹㉤〸愵㤳㉦㝡戵㥡慣㠴戶攷〶昹㌱摦㌷搷㘶敤㈰散㐲〳扤㙣愳㍥搰捡㠱晤慣㑣㤷㔷愴ㅦ愰㤱㤶㐸愴搳㐶ㄲ昵昱㉦ㅢ㌳〶㝢ㄹ㈹㤰㕥戴㑡捣ㄷ挷捦㉤㍣つ搱愵搰昳攵㠱摣挵㐸挰戱㐲㈱㕦挸て㡤ㄶ㐶昲㠳〷㜲挵㝡㉤慣晢昲㤸㉢敢愱㙦搶づ攴捥搷ㄷ㙡㜶攵戴㕣㥢昷㉥㑢昷㤸㕣ㄸ㍣扣㘰づㅤ㈹っつて㕢㐷㡦ㅥ改搵㈱昹㙣㜱晣扣㉦慤攰㑥挹散愶捣㜳挵昱晣㔹ㄹ摥㈹㤹㘹挸㠴挸〹捦㌱㙤昷づ〹搵愸攰攱〹㔹戱戹ㄲ㔲晡戶扢㤸挷戰㕢ㄴ㡤摣㘸㝥㉣〸敡捥㌲ㄷ戵㈸㙢戵㌹㘹㜱㌸㠶㌳ㄱ㠴攷㑤摦〹㝡ㅤ敡㑦晡搲慤挸㘰㥢㌳戹㕡㤱戵㐶挳㈰敤㕣㌴晤戳愶㈳㔳㘴晡㥤㘸つ㘷慡搲つ敤㜰慤捦㜹㈲㤰㜳愶扢㈸搹㐴㜳愶敢㜶㔵愴㔲昸㥦攸㝡㜷愷㤱愹㠵挲㜸㥣攲㤲改㠷㉡挷㈵㉣㜴㙡摢㘴㉥㙡ㄶ㉤攳愲㐹攵摡㝡㜱捤㑡戶㜳㕡晡慥慣昱㈵㕣挹㠱戶㐶㑡㐱搱㍡慣㙢㉡㥥づ搵㈲㝡ㅡ㥥挰戹昰㉤扡〱昲搸慣户㜸搶昳ㅤ搸攴ㄹ㘹扡挷〶昳㈳㐳〷㑡㘱㜵㐲慥㠰㉦㡣ㅣ㤸昵㉡㈶ㄵ㝣㙣搰挸愰扤搱挳㥥扤㈴挷昶㑤敥㉢㡣ㅡ㝤㉣摤〶㈲㔲㙦挲昹㥡摦挲戶挹戲㤹㉣㉦㈴换㤵㘴戹㥡㉣换㘴搹㑡㤶ㄷ㤳攵愵㘴搹㑥㤶㥦㑥㤶㉦愳㑤㥣搲摤摤挹㐶晡搹昶㕤㥦晤捦ㅦ扡㑦扥㌸㜳敦㠱挳㝤㍦昹戹愰扦㈹㜷捤㠲搹搳㍡攴挲昰挶㤰〷ぢ挳挶㍤㘸㘲㙣〷搱㜷㠰摣㝦㘹慣㔸捣搹㙥敥搰攰昰㘰敥㤱㜳戵㙡慥〴㜷昵晣㐷㡤㥤㙣戸ぢ㐴㠸㝦㘲散ㅣ晦㝢㑥扤摡戳攷昴敢㘷㍥晥㜰㜹攸搸㠱搷〷㝡摦㠱敡ぢつ搵㑤昸收ㄵㄸ攳㠶㥤ㅦ捡て昲摦㡤ㅤㅣ晥㙤つ㕢愳㔶愱㔰ㅤㅥ㌴て㥢ㅡ㤵㜹戳㤶挴㈹昷㕡㤷㙣户敡㕤㔱愶昵攰戸ㄹ挸つ㑢ㅢ㘸搴㡤㝢㜵户ㅡ散敥㕣㔹ち捤㔰㍥搰㕥户㈱㘴㔳户ㄲㅣ㑦〶敡㝤て戵㜷扢㘸搶敡㜲㙣搵㡥慡昷戴㔵挳敤扣㠵敢搷㑥昹昲㤹昵摡㑤㈳ㅡ㐳㤰㕥㔱戲㌷捤㌲慡㡡挶㤵㉢㉥㜹㠱㜴搵昰〶㥣昳㜶攵戲昴㑢㤲㈱㕥㔶搵㔴㜷戱慡攱晢〳攷㕣㑣ㄴ摥㕣㝤㘷㜳愹㌵戹ㅡ㑡户㉡慢ㄸ敦戲昴挳戵㜹㜳愱㈶敦㙤㘹ㄲ扤ㄳㄵ昷户ㄴ㑦㜹㤵㝡㔰昴摣搰昷㙡慤㌵㘳搵ㄵㄳ昱愶㝡挶慢㑡㠴㡢ㄴ㔳㐲㈴扡扡㠴㐸㍣搶挹㘷㈹㌷挸慢㠵㘸㕡㘲㐶㡦晢㕡捤㉥㍦㠷搹㘱ㄶ㌵㐹㥢㑣敥扢㠱㌰㈵㤷㘲ㅥ扤㝥挳愶㌹㜱㍦㘴敢㐷慥摦㕡㡤㜱㝤攵晥扦㡤㤳挹ㅤ㡤搹㑦慥㈰㈶㥦㌴摤㙡㑤晡㕢敥收㠲㈳㌲敥〳搱晥〱㑦扥慥昶ㄸ㑡挴慡㔸搳慥搸搵㜰㐹㕦㤲昶攲㔲㠸㌲散昸改㌴㔵扢㈹ㄹて愰挸搸㑤昲㈰㐸㈶㤳搰昷戰㤱㥥㌱ㅥ㡡昲ㅡ㘳摤慤㐷㝢㘲ち㐳敤㉥㠰〲㠱收㑣㜹㝥搰搵搵㘹㤶㈷捤㘰㈹愴㜹㙥㔹挹戸㙥㍣㑣㤲〳搱ㄸ㥢㙦戸㤹昴愳㔱㡡㝢㘶㥦㌳㈱㉤ㄳ㐸㐵㜹户㌰㌵㈷摡晣㈶㘴㔰㌱戸㑢捥挰㔷㔶㜵㜰㜰晥㕥㠷搶㉦㔷挳〹㌳㌴扢ㅤ散户㔸㈵〳㡤〶㔴慦㠸㘳捦㍥㔵ㄶ昷捥㌴㜲㤰㤰㔵㙣㤳㤴ㅥ㔵㄰㐹㠲攳挰㕦ㄲ㕤つ扡昵㈴㌰㜶敥㠸㝡扢愱户敥㥢搸捥慢搳搲㥤㕦㕢㤶〱㥢愷昵㉤㔵搹敥㕥ㄴ㜶慥戲昰㐴㘸搷㠲㍣㐶㍡敤㝢昵攵㍢㈹㠷戲㡣扤㈰㜱搲晥〲㉢扥昹㌹ㄱ敤㜶慦㜰㙤捡攵㐴㥡搲㔸㘲㜰慦㌶㘸慤㄰昶ㄶㅥ㉡ㄹ晢昱挸㙣㔵愷㜱㑢扦ㄵ㡣㐱搳敢㜵愰愱㜹㕦㉡搴㤴㔶ㄹ㘸扢捦戹攴昹㤷ㄷ㍣敦㌲敤㘹㥢捡〵㑢㔲㠶㐴㈲㍤つ攴愵㄰㤶㄰㕤㕤㉤〰愲〹戲㄰挳攸㡦㠲昴㡤搵㙡戹㔸㘲愰㍦㠶愲㉥㘰㈲㝤〰捣摥攲摣㤹搹愹㤳㡣扤戵㠳ㄷてㅥ捥ㅦ㍡㌸㌸㝡㜰昰挸挱㐳㠳㠷㐶昲慢戵㘰㔵晣ㄹ㙡攰㐶㝦昴昹改捦㕦㜸昲改挹ㄷ晥晢晢ㅦ晦戶昷搴㌵昱愷㐶挵㈶攸㐱㌸愱戰㑦ㅥ㡣昸㈳㥡㌱扣㠰㙦㑤挶㈰昲㐶㠱攴㄰〸㠲㠴㔲㍢㘲挴㔰㤴ㄵ㠴㈴㡣ㄳ挶㌰挹〸㠸㈰〲㔱〸㙡ㄴ㑣㥣挴敦㈰㥦㡢慦ㄶ㤰ㄸ㘶昳〲㍥㡥搲㡣戱㐵㥤㈰慥攱㈲ㅡ㔴㥡㐱㌵ㄹ㔴㤱昸㈵〴㜷㔴挰㉦ㅡㄵ敤㄰㐸㘳㐸扤㠵慤㑢㑤搱扡㘸换㉢昴戵㙤ㄶ愰㜴戱ㅥ㠴㥥ちっ㝤搶㠴㜷搶ぢ㈷散㘰戹㘶慥敤戰ㅡ捣愵㈵改㘲摢昶戱㝢户㤵㜹换换戲㙡㔸㈵慦敥㔷攴捣挴摤戰慤㐳ㅤ搰愳摡搱㤳〲改昶㜶㉡㠰㑥〱㉢㐱㑡㘸摣㕦摡〳㡥〲昴㑤攰㐰戱㠴㠲晤ㅢㅡ㥤户挳㥡散戱搴挶慣昸戴〵㉤〲ぢ㔵扢慤昹㈵㌸攲㐴㥦㌵敤摢搵㥡敤㑡㉥挶捥愸改慣㕣〴敥㌹敦〵㌶愱㝤㥦㌵敦㥢㙥戰捣㄰㕥㔹摢摥㤲㔳戱㕥戳挶㙤㌷挰㙢搴㉡㤲敦户㑡㑢摥ㄵ㥣愹敢㡥㍢㙤㉥〷㜷挵慡搰㕢愲愴㤶㐶㈴㐵㌲㈹搲挹昴敤慥㡦㍥〱㘹昷攲㠰攴慡〳㔲づ愶ㅡ晡昶㐲㥤㍡㔳敦愱㥢愷㐸搴㌲㈶㌴〲㠴昶㜸摤戴㡡㙤㘰㡢挳㙤㌹愱㜶摣昷搷敦㉡ㄴ戸㤹㘴㥦㈹㤰㔳搳㑦捣㙣ㅣ㐳摥搶㕤㠳㐶㐸㜳搳愸㑦㐵㤵挸㡡㠸〴㘹㔴㜰㑥ㄸ〳㜳敤㤶㤹戱㔴ㅢㅡ改戶つ㜶ち挰愱搷㥡㌵ㄷ㘴つ㜸挷㌱挳㙤㔱㠶挰ㄳ〷搱愰㔱㔷昴ㅣ挷愴搵昱㐴㕤慡㤸㌵㤹戶挶敡愱㜷挶㜶つぢ㐴㤹㘶愳挸㕣㐵㤱戹ㅡ㈱ㄳ㙢㡥攷㈰挵㔳㤶户㘸晡㜶戸攴搸㤵㌴㌳㍣慢摣ㄵ收㡡㄰㐲㈴ㅡ愷㌸㥣戴㐳㥤〸㜰㘰戹昳㌸ㅤ㔰㜵㕣㝥ㄸ㜵㔲攸昸㈷㙥ㄳ㈶㈳昸愸㍤挵㌸〹㘹ㅡ㘱㈸愳㤱㑡㙦挴ㄷ㘸㙦㕣㐵㠹㡡㑦㠲㈸㤷搵挶㑣㠳㘱㈶㐵愰戹㈵㠶㈲〸挹捣㝡㘶㜵捡攴㠱扢扢㜱㌷㤶挶搲㌲摡昸㔹愲摡㈲㌶㙢ㅣ挰㔶散慡昴搳㉣㈸攱㈲㉥㐵㍣慣㐷㙢㠸晤扤㉢愱㘹㍤改㑥敦㥡㠹㘵敤㙢㘰㠵收㡢扥㤹㑤昲晦㝤攱挸㜱㡥㍤㤳㔱户㜸愷挰ㅡ愷㐱㐴づ㠴昳㘹㙢㌰㡢㈲攳っ㠸戶ㄷ愴㝤㙤㕡〱㈶㘰㈸慦㔴㔲敡㔶㠹搰㌷つ㤸愸㌰戳愶㈶搲搳㠴㜵昵〸收愶攳慢㉡扤〴㉢㤷搵㑣ㄴ㘲㠹愹戹ㅣ挹㘴ち㑢慤户摦ㄳ㙣㝡㉤㠴㌹㈵愹㐰戰愰捥昵戳㈰㍢攸㉣㤰㕦〶ㄶち捤戱摣慦㝥㥡ㅢ搹㠴㈳㌲ㄹ攳㍣摡㈶㌲㠲㠸㌰㔶〰㘳㑤㈶愳〰改〵戰挶ㅣ㠸㈰晡㈱ㄲ㘸摡户〴㈱て昷慥㠴㕥〲搹ㄱ㕤换摣㌰㔰ち㠲㈴㜵㥡㥡〷㈳ㄸ㐱ㄹ㠳搶㙤昲㈲昸ㅢ摢㈴㔱ㄵ㤷搲戸搴㘰㤸ㄱ㠴㔶昱㌴挰挶ぢ晤㈴㔸攳㝤㈰㠲戰慢㐳㠳昷戳挱〷搸㠰㐸㡣㡢慤㝦㄰㘴㘷慣挴收㑢愴㑥㕡晣㌰ㅡ㐳㡢㠴㘵戱昴敤㉣㠹戴㔸〶㙢㍣〵㈲ㄸ挱搵愸捤〶㐳㍢搴攸㠵敤挶戵挹昱ㄹ㉤㌲ㄶ㐳㐰㈹㕣慢㈱散㤲愵戱㐵ㅣ摤㈶慡㠶ぢ㜸㍥㙥扦㔳敤㐷攰昵扥㍣攵昶散㙣扢㕥㔰摤㔸挳〸愳㝤ㅤ㘸昰扡晤㌹㠳㡤戳〶晢㌰改ㄵ㤰㥤㘷散㡡敦〵㥥ㄵ收㑡㐰ㄵ戸㙢昳㙤㉢㤱ㄸㅣ搳扥〶㠹ㅤ摦挹㠹愵㕣㕥戴慥昰昸㤲戹散㝡㔷㕣㌵ㅡ㉤攰慤㤵搲㔷㜷㌷㕦㐳ㅣ慥搲扢愰挵㉣愳ㄱ㍢ㅢㄲ愴慦㉢㑢㜷㘶㘳ㅤ㉦㑣散㉦㡥ㄷ攷捡㠵〵㙢戴㝡戸㔰㤰㈳㐷㠷㠷㠶㡥㡥㥡㐷㡥㔶㐶㠷慢㐷㡥㑡㌹㍣㔲㤵㈳㔹攵晤㘸㙥㉣㠲㘴改敦敡㜵㑢捣搱昱㔵㡥㜵ㅡㅤ攵㘶㕤㤱愳ㄲぢ愲㈲慡㐲愶扡扢挵晥戶㕢㤵㑤㉥扣㝥㉣搵㜵晡㥤昶㘵㈸敢收㍡㜱㠰ㅢ㙢挱捥㑡㈵㤷挱ㄸ㌵㤰㑣㤶㍥捣㌲摤〱搹㕥ㅣ㉦攳戸ㄴㅦ愰㘸㍦㍡攱㑣㉦捡㔵㤸挲㌵㝡愰㝢㈸戹〷㈵慤搷攲晡㌲㡡户愱戸〹捡㘴ㄹㅣ搴ㅢ〷挰愸晢㘱㈳㈰挷愵ㄲ捡挱㤹慢㌳㠷ㅦ捤㕤搰挱㘹昲攲㐵捣㤲㠶〶㍥愱㕦〱戹慥昵㠸㑦愱ㄹ㉤愸搵〲㉥愱㡦㝡昹ㅡㄸ㔸〰晤㥣㈹㑢㕦㘷捡搲戱㤹戲㜴㙥㈶㐱㔷攵㕡㡡㑦㐰ㅣ昵捣㌱ㄹ捦㤱㝣〴㈴㤳愵户㉡㝤㍤て愶㤳扥㍥㡡昲㔶㝤㕤㐵㐹㥢㘲昴㡦愱㙣戳づ戳㑦愱㜸㐳㕦っㄲ搱㠵昵ぢ攰戲㘶㕣㜹つ㑣㕦㤷㐶挳㝥扣捤㜶㍡㐳捡㠱昶换捣㐹㕣㑥慥㜱㘷敦挲㕥ㅡ敤㐰愹攴㝢㙦㑦ㄶ慤㤳㥢〲㝦摡戳㔰搹摢㤰搳㙡慦㤴昸㌰㝥挶㈷㈹㥡㝥㌶搸㘹㠸㕢㝤㌳愱㠸㕤捥㑣〰挳挵户户㜹㙦㙣晤挳捤㍤戱㐱て挴㜷㙣晢㌷㑡挶ㄶ〲㥣㕦㐲ㄹ㜷㍢攷慦昷挳㥤ㄵ攲㄰㉡〶㜸㈳户㙢㈳搷戴㠳敦摥㈸㥤㜱〳摣ㅥ换㙡㉣㌱挰㑥㤶㑡㜶㠹㡥㘷收挶㈷ㅡ戸㘰㉣㘰搲慤㍢㘹捣㘱㜷〷〴㌳㙥㠷敡〴愰愱㕥ㄸㄶ愸晥㘹㤲攸攳㡢戶㠲愵戸㠵户戴慡㥥敦㘴捡ㄸ㥦〱ㄵ㡣㜸㤴挷愲㝥㐶て扥㤳扡㙤㑡㙦ㅣ㙦㘴㑥㐴捦㥤㡤攷㝤㈷晡ㄹ㙡㕡㝡扣晣收㉢㡦敦㝦改㐷㙦㌵㥥㔷㥦摢昹挳改扦㍤晢昷攳搱昳㌷挷〵愳挴㌶晣摡㉦㈸㥥挱㈰㍡㕥㔰㉣㌷㉡摡㙦㘸戲っ㉥捡愵扥〰愶慦㑢㌰ㄸ搰㜳㠴㡢ㅥ㌴㔷㘵㘱㕦㐲㐹㍦摤扣㘵㤸挸㈳戵㑦㉣㝤㐲ㄵ㈷戲㈷晡ㄹㄳ㔴㡦て㠹扤㕦ㅣ搳晥㝡戵㝤㘲㠷㔵晡昵昱搷ㅥ扡昶慦ぢ慦㝤敥戸愰㈷㜷㥡㤸㝤扤㠹㉤㌵㉡㌶摤扣㕣㠳愴㡥敢摢㜴㉦搰昴㥤㠶㔷戹㥡挵㤰摥㘳㐵挵㜴㕣㠰〲扢㔶㔳晢㘹㉦㑥㐹㍥扥㤴捣攲㍥〰㘷㈳㝣㔴㙣〴㜸摣ㄳ㄰㜴挶㌸摣㔰㌹攵昵搶㌹ㅦ挰扣摢㥡〹㜰㡦㔳㑤攳愶㌷っ昱㈱昲㙥㌸㐲〱攱愴ㄸ攰㜸㐰〰㕣㑥㜶〴ㄷ㐴つ㕢㥣㙥㌷昴ㄱ㝦〰㐹昲㜰㜵㝢㔷㍡晡㔷昰戲愶ㅢ㠳㙡搳㡤㐱㑡㔸㔸攵㘸〷晢㔸㐲㜹ㄹ〰㝥挲昸㉡扡愸摢㌹戵㍤㠲㘴㡣㤷㔸挴㉢㕢㐵ㄲㅡ㐳㘳晢摣㠸昶愶㌸昹戶慦ㄸ㍤㍤㥣㜰㥣㔲昴散慤攲ち户扥㙥愷㙣昲㉦㈲搲㑥戹㈶摤挵㜰㘹晤慦㈰〰㈶昰㐹挴㜸ㄹ㡤㈲㍤挳愵攸㘲㌴㑢晤ㅢ㈰㌱攲㙦㥤㘸戹攳㐴扦㠹昶㙤ㄳ晤ㄶ㡢㌶㈶㉡攸愱㥣㙣㥣㌴㉡攷愶ㄷ㡦搱㙤〷捣扣昱㜷ㅥ㍣攸て搴昸㔷ㅥ㥤捥㡤慤昷㉡摦㐶㔷㐱戵㔳㠶昱㥤〶挳㑣㍦㈷㑦㐶㐵㑢挱㐹愸ㄵ晢㉥㡢㌹㝥搵攳㝢つ㠶ㄹ愱㠴㠱㌱㕥〱㠹㔳㤶㐲㔵㡣㝡ㄵっ㘲㤴ㄲ〰搶昸㝥摣〴捦㉣〵愹㔶㍦〰〳㍣ㄳ㡢㄰散㈵昱ㄳ㜳㔰㉥㐳摡㌸㌲㘹㘰攰戸扢㘰て搵攲㐲㙢㡢㥥晦〱㔸㉥摦摤</t>
  </si>
  <si>
    <t>㜸〱捤㕢㜹㤸ㅣ挵㜵敦㥡㥤㤹㥤㥡扤㐶ㄲ昷㈱〶㈴ㄹ挱㑡㥢㕤ㅤ㘸㌹昴愱㍤㜴㉣慣捥㤵〴搸攰㔵敦㑣昷敥㐸㌳搳换㜴㡦戴敢㘰〴㥦戱攳㈳攱昲〷㌱〶㡣㠲㈱㌶戶㘳ㄳㅣ㘳㘲㤳搸ㅣ㌶㌶攰捦㜱㡣㘳㠸攳㤰搸挴昹㘲㍢㠹㜲晣攱㈴搸攴昷㝢摤㌳㍢搷慥㠴㉣㝤㥦㕡㍢慦慢㕥㔵扤慡㝡敦搵慢㔷慦㑢㠶㌲っ攳㉤㍣㝣昳〹㌳㜱捥挸戴敢㔹戹慥〱㈷㥢戵㔲㕥挶挹扢㕤㝤㠵㠲㌹㍤㥣㜱扤㈶㔴㠸㡥㘶㔰敥㐶㐶摤捣㝢慣搸攸㝥慢攰愲㔲挴㌰㘲㌱ㅤ㈲㤵攰㤷㈸㘵㌴㕢㘹愲㌵㙡ㄹ㍡ち搰摡っ戰㜳愰㝦敢搸㕥㜴㌲攲㌹〵㙢㔹㜲户㑦㙡㙤㑦㑦㔷㑦搷慡㌵㍤㤷㜴㜵㉦㑢づㄴ戳㕥戱㘰慤捤㕢㐵慦㘰㘶㤷㈵户ㄵ挷戲㤹搴搵搶昴㑥㘷㥦㤵㕦㙢㡤㜵慦ㅣ㌳㔷昵昶慣㕡扤摡扥昴搲摥搶ㄸ㈸㙦ㄹ攸摦㔶戰㙣昷㜸搱搴愴戹㜵愰扦㙢㡢攵ㅤ㉦㥡㜱搰〴挹㐱㈷㘷㘶昲挷㠹㘸㠴慣㕥㌹㘸愵㌲㤴㠹㘵ㄵ㌲昹昱㉥っ扢㡡搱挸慤改摡〰㡥愷㑣搷ㅢ戰戲搹ㅤ㤶㑤㜱戴收挸㌳慢㘰攵㔳㤶摢㥥㕢㍦㤵戲戲㐱戱ㅢ换敤㌶ぢ㕢捣㥣ㄵ㘶愲㈳攷换㙤㈸㙤攵扤㡣㌷摤㤶摢攵㕡㍢捣晣戸挵㉡㤱摣挶㘲㈶ㅤづ慢㜰搸㘸扡戰搱㘰㐴㌶㕤ㅢち愹㠱〹戳攰㐹㡥㔲敢㘹㔴户㐲㐳㘴攰㔵挳攲戰㤳㌵慤㈸愶㤱㑣敥㙡慢㤰户戲散㠴挲敢慣愹㈴㍣昱㔹㕦㘶㑥㘹㌶ㄴ㡣㙡〹㤶〱愷挲㕥㜴ぢ㐱㉢㐰戴つ㘰搱〸㐶㙥㈵ㅤ㍢改㑤㔸挹扣㜵㈰改㐲㡦㥤㐲㜲㈸㥦㕣搱扤扡㍢戹㜴挹㐵扡㥤㑤㍡〰㔴昸㌰㤶㔹㈵㐹㔲ぢ㡤㥡愱搱戱搰㘸㉡㌴㥡づ㡤㕡愱㔱㍢㌴㍡ㅥㅡ㥤〸㡤㘶㐲愳㝢㐳愳晢㔰愷昴挴㥡㥢㐳挱搳晣敡〳㑦摤晦摦㌷つ晥昱ㄹ敦㝥昲㠵㤷慥㜹㔵㜱㘵挹ㄲ㥢㠷㠴㥥て㄰㕤〰搰戹㘹㍡㕤㜰挶慤㝣搲㥡㥡㜴ち㕥戲㘰敤户昲㐵换㑤㘶捡㘳攴〴㌶づ㙥扢㐸㥦挲愶愷〲㈸昵㜳っ㤵挳捤て晤攱ㄵて㠶晥㜷搳㈳搶〵㠷搷挴敥㕡愸戸㜸愵㥦搳㔹昹っ㠰攸㤹〰㤱戵㡢搷㉦㕥愹捦㈲昲㙣〰愵摥〸㈸㝣攵挱㍦扦晦㌳攷㕣扢敥㔶搳㤹扣昳搱敤㌷㉢慥㝣愱㜰㉥㉢㉦〴㠸㥥〷㌰㝦㘰敢㡡愴㤵换戸㔴㕡㔷昸愷㤳慣㜱㍥㠰㔲㝦ㅦ㤰㝢㜳愹昷戳搰㡦㙥ㄸ扥㜵愴晢慥㈷摣慦㝥扡㜵ㄱ㡡户〷㜲ㅡ㉣㤸〷愰散㌳敢㘸㐵㔷㌷晦ㅤ搹㠰挰㝥搸慢敤㌵㜶㑦㑦㝡㜵户戹搲㡣㔰㌶㐷慢戶攴㕢慢㝤㑤㈶㥦㜶づ㠸ㅥ户摡ㅢ㌲㔹捦㉡㐸愶挳挶换㕦㡢㤲㙦戳搷㑦挱㠸愵㝣㤵㍦挵ㅥ戰ちㅥㄶ扦㌷㍤戳づ捥改㌷㕤㙢㈶摢ㄹ搰敥㜷㡡昹戴㝢㜶攳挲ㄱ捦昴慣戳㙡换㘶㠸搴㌵ㅢ㠱㘱戰㕣ㄹ搲挲摡㘶扢捤㙣搱敡㥢捡昸挵攷搶ㄴ挳㐴㌸㘳戳㤷㙥㈸㔸㌷㤶㑢敢㐶搴㠷敤㘴扦搰慥㥢愵㕦攴㡦㉢㌹㌰攱戸㔶㕥㠶搷㤹摢㤶㐹敤戳ち㈳ㄶ㌷㈳㉢㉤㔳㍤㤵㐵㠱㥤敡摣㥡挷㐴㘱㜹搲ㄷ㔴㘲挹㘸㉢㥦戶搲ㄸ敦㈴戸㍣扤搳ㅣ换㕡愷㔵㔵昱晢㐴挱㤹㔵攸つ㑥慡攸づ㌸㜹慦攰㘴慢㑢晡搲晢㑤搸挶昴㘶㈷㙤㠵攵㌱㝣愸㡣愶㈶愵㡣愵㡤㡣っ㘹扢㌴㐳ㄵ㑡㐲㘳㌷㜷攵ち㈵㘲攵㠶收慢㑣ㄹ㠹ち㈵㘳晤㡢收ㅣ㐹愵ㄲ戲㜶昷㥣戵ㅢ㈸㈹ㅢ㥤㔱扤昰扡㜶㐰㍥㤰㐳搶攲慡っ㉤㥥㥤攴㡣㕥ㅥ㘱愴ㄵ㔲愱敦挱摡㜳㌰㑤挸㤶㜵敦挴㔶づ㠵ㄶ〴戳㕦て㤳敡㙤㌲昳改慣㔵㤸搳㜳㔲ㅣ㤱㕥㑣戰㠴攰ㅤ〴ㄷㄲ㉣〵㠸晣㄰㌶㙥㔶㡥搲挰慢㈹㌵ㅤ㌹㤰㐹㝢ㄳ搱〹㉢㌳㍥攱〱〷㡦㉢ㄶ㈳扢昹㔸昸つ挲挰ㅥㄴ〳㝢㌱㜲扡㤳㘰ㄹ㐰㍣㙥㐴㤷攳㙤㐴攳扡㡢慦摦〱攸㈸戹〰㐹㕦㌳攳㐶㠴摢摢摢摦㠴改攷㘹搹昳攱㤴戹㤱ㅣ攸扡㑤㑤㡤戸戱挹㜴㈷㍣㉥挴㌹ぢ㘵扢敤㈶搱ㅥ㠰搶ㄵ〰㕢㌶㔹㔹㉣攳攳攵捦㐵戸㌳ㅦ搱㙦攰㑥㝡㕡㙥㘴㍡㥦㥡㈸㌸㜹㌸扢㠳愶㘷昶愵攰ㅣ戹捡㡣收㠶㥤㠱愲ㄷ捤㙤捡攰搵㥡摢㘱㑤㕡愶㌷〰㌳敤戵攵㠶攱㔸㠹ㅤㅤ㑡㑦㐵㜲扥㑦㌴㘸戹㈹㑤攷㘹〸㘶㘹㉡㡡ㄴ散㙣㙢㡥㠶挶㥡昲㐸扡㌹户つ㍥㐵摥搳愸搴㈹慤晣ㄴ㕢戶〹慥搴㍡ㅥ攴㐰㈱㈱挹ち㉡㉤㠲昰㈹㠹㉦㡥ㅤㄴ扢㙥㌸㠰戵㉢㘸㤷㤷挹扡㕤〱㝢扢〶ㅤ㌸搷㤶戸晢㘴㝢㌴ち〵㡢捥㈹慣摡㠵㑥敦㙢㙢㙡捣㈷㡢愱㙣㉣㌸挵㐹㝡㘰挷㡢づ㘹ㄹ㝡㈵挰㐳晦昱㤹换㤷㍣昸㠵户㠲昷㐱㉣㈱㜹㌴ㅤ㌴㑤㝤㘷ㄶ㉦㜹昴㈵㜸挵攷㉡㡢搰㔵㙢㘸㘹㘷㜱ㄴ改㄰戵收㌰摢㥤〵㑢㍣摦㤸㘴愶㈷慤戶摣㌵㑥㘱摦㤸攳散愳昰摢㈵攷㑥㔸㤶㐷㜷戲㈵昰㥥㤹㔶㑡㌵㌵㔵㌹㠶ㄵ㝥㈷ㅤ搱攸㘵〰㙤㝤搹㙣戲㐴搱㡤㕥づ㔴ㄳ㜶㤴攸ㄵ㐸㥣㍦戰㘳昳昰㠶㑤摣㤳戲换㜷㉦㕦搹戵㘲㜹昷㥡攵摤扤换㔷㜴慦戸愴㙢㉡敢㑥愹攷挰〶㝡㜴㙦昵㍣㍢晥昹〵㡦㙦㜹摦㑤户ㄴ搷敦搹晤愴㝡㌶㈸愸㜳㈹改㐹搲つ搲㔷ㄲ慣㈳攸㈳攸㈷ㄸ〰㔰㑦愳㈹㡤ㄶ搲㘵搳昳㡣㤸㥥昵慣戳㠱㘰㈳〰㑣㡦㠸〲㤶㘷㠸㌸㕡㥥戸愱戸戶㘸㙤昴搵〴挳〰㡡慥ㄴ搷愵愱㌷〳捣㉡㕣扡戶昵挲摤〶㙣㕣捦㔱愶攸摣㔲挰㥡っ搵㘴愱㈶晢搴㘳〱て敡㤸昳改愰愰捥て愶晢㉢捣戹㡥㐴摥㐹昰㉥㠲敢〹㙥〰㔰て捦捡㥣㔱搶搹㐳㘰〲㔴㌰㈷㠵㙣㌴つ㔰㙦㤶ㄵ㕤㙤㘱ㄶ㙤扣戶〱ㄴ扤㙤㥦㔹攳㐸捤捡㉣晡攷昵捣摡ぢ㙣㕣捦㔱愶攸挷㌷㘲搶ㅤ戳㌱敢昶愰愰捥攵愷愷㉦捣㜲㌹ㄴ敥㕡扡㐸戰㥦攰〰㠰晡攰慣捣㥡㘶㥤昷㄰晣㉥㐰〵戳摥㑢㕣愰㐹㍣㐵〸㜳づㄲ㜹ぢ㠰㑡〲昸捣戹ㄵ愹㔹㤹㜳ㅥち敢㤹㜳ㅢ戰㜱㍤㐷㤹㍡ㅦ㌵ㅡ㌱愷㌸ㅢ㜳扣愰愰昶〰ㄳ愱㍢㔰㙢㤰攵㘴㕡㜶敤㉡㥣㐶捥㈸㙡敦捡㘷㍣户挵敥㉢㝡捥㠶㡣㌷攸㝡慤㌶〰㤲搲攴㉣昱㠲㉡ㅡ㜵摡扢㌳搶㠱㥤㌰㐹攷搵ㄷ攱搰㍥㔰㜴㍤㐷昶㥡㠵昵攵㠳捥ㄶ挷ㅢ捣戸㤳㔹㜳㝡㜱㠳㘲扦攴㥡〹㉢て户扣〰敦晣㐸㤵㥣挹㐹㉢摤㘰㡣㈳㑥戱㤰戲㠶〶㑦〶挷㕥昹㥢愶〱扢㡣㉤㔳㉤㤹摤㤱慤攰㍢㥤扢㄰㙣戹㍡㐶扦㤰㥢㤵愱㙦㈷㐴㥦㔰㜵㝤〷㤲搰昸挸ㄲ扣攷㔶㤱㡡愳〲ㄷ㕡摣㠶㔸㝤㕣㕢㜰ㄶㅤ捡扢㤹戴ㄵて㜲㥢㌳昹昶㈰戹戵攸㔵㤵㤸㔳ぢ㠲ㄲ㙣㌸㕢昳㄰㝤捡㉣愴㑦〶愹㘰㘲㜸㝣㤱愸㈸晥ㅤㅢ愳㝤㌲㠶㜱戸ㄴ昳㍣㝣㄰㡢晤㑥愰挹㙢晡攴つ昷晦昲㜲㐴愲攲愴㐵㈳搰㐶㜶㤷搱㌱收㌶㕢㘶㕥愴㌰攲愵〷慤晤敤㔲挳㠲㠲㈳㔶㤶戵ㄶ㔴㘷挵つ搴㜶摦㤸敢㘴㡢㥥搵㕥㑥挹㐲搷昶づ㉢㙢昲搴摣㕡㑥㙤㑢㜹㠸㉢㤴改昱㐴㝣昲㐸〸ㅣ〹〷㔲㔲㈲愷攸ㅣ捡㕢㍤〹慥愱㘳㤴慡㌲っ㕢㥥㝦扢㔲㝤晣㍥㍥㡦㕤㘹㤴ㄲ㜱㍥㐶㠴㘷慤愳㍦ㄶ㜳㈵㉤㈸㐵㙢㝣ぢ㈷挶慢戵㠴攳㠹戴捤ㄶ扢㠷戰ㄳ挳愴ㅤ㕣㍡㔹挴戰扤㑣捡捣㘶愷摢敤愱㝣㉡㕢㑣㕢挳收㤸㤵㉤搹㙣愷㤰㍢㐹攴㈵搱㝥㕦㔶㜳昰㈵㠸ㄵっ㈱攴㕦㍡㠴ㅦ戳㤹㌳昴㕤㘰慢㙣戹愰ㄱ搷ㅦ㐵㡥愲攱〹昸㙤挷㈰攸ㅣ捦㥦㠹愰㐹昴ㄹ愶慤づ㐵㥢挶昳㔸㌹㡣㈱㉢慥愲摡戰㌳散㈰挴㤴慥㐰㙤捡昸愸㤳㘶㕤㠹㤸愲搱攸戱㙥㌰攰ㄵ㥥挳㙦〵㙦扡㑡㜸づ㕦㐹晥㔳〲ㄷ㈳㔷㝢㤲慢㜰㐴㘴敦ㄷ㈳㤸㐰挵づ㕡㌰摦㜱搸㤹昱戲㔶㡢㉤攵㤲㡥㜱㐹㤰㥢捤昶捥〹㥣㡡〶摢散㡤㠵㑣㍡㥢挹㕢㜴㐲㄰昲㘴挴㝦搸㐲㔸㍡扤捤㜱㌳晣扥搴㘶敦㉣㤸㜹㜷㤲㠷摦搴昴晣慡㥣〸㉢㘲昷㘷昲㔸㐰㝥㥦㑣㜷搸㈳ㄳ捥〱㝣愲㉡收昲ㅢ捤㐹昷愴㄰ㄴ慣㔰昰昸慢㉡愴㐲㈱ㄵぢ挵㡥㜵慦㤲戳㉡ㅤ〲㠳㘷昱㄰㐱㈰慥㑥愴收㔸戳㤴㔴㄰ㅥ攵㥡攵戸慡扥敤㌴㡣捤㤴扦昱搱づ敢㝢搸收㕥㠰慢㌶敥ㅡ㥡〹慡晦㔶㕦收㈲换㐰㙦㡥敤㐰㔴愳ㅣ挱攳㜹慤摤㔷ㄷ攲愸㍤㕡愴捥㕣慤ち挶㙤愹㐳㙤挴づ捡敡㑣㙥㐰㙣愵ㄵ㡢ㅦ收ㄷ㌱㈹搸摤㜶㍦㐳㤷㉥㘷㘶摤愰㙣挰挹攵㑣慡ㄷ㔵㜳〴戶摢㡡㠹㝦つ㙢愲㙤〰搱挱〰㘵㑥〱㘵㑥〹ち㕢㌲愳昲㤲㈶㉤㘷摣㉣㘴扣㠹㕣㈶ㄵ㘳㠶㤱昳㤳㐲㉦愱㐲㡣㈰㤶ㅥ㔱㑥㌸慢戵昱㉦㍦㘴〳㜱㜷攱晣㐰搶㔱晣搰摥㤰散攳敡ㄸ㐳㥥㔰㕦㌱昸晡㘳愰ㄶ㘱愸㄰愶摦ㅦ㑡㠵ㄳ〶㡣ㄸ㈲搵挵ち昸改晢㠲〴㌳㘱〶〳攷㡣㐲㌱㘴ㄸㅦ㜶捣昴〶㝣㕣㜱ち捤挱㤷攴ㄸ㐴㑢戳㔲㐸㌰昲㌸㠰㄰〹㍥〷散㠷㉦㕣㠸ㄱ㌱㠲㤸㕥㤸㌱换愸㉦㐳㍡㤸㐶㈴搲ㄲ㙢搴搷㔰㠹搶攲㈰㐲㔳昹㠱㝣愸㡥晥㉦户昷挲扡㜲㕡ㄲㄴ昹㌸㤲晡㝥〰挵㤸㈶攷㔳㔳攱〱㔶㜸㄰㈰戲ㄲ愰㜶㤵捣ㅡ愵㈳昱㐸㡥搱挳㔸㡥搳㠱换ㄱ㐵㑣ㄱ㔱㐸戰㈴摡ㄲ愳搱搰㥦〰昸捥换㉦慦挵换㔰っ㠳㤵晡攷戹㌹ㅥ㈷昳昴㐳〴㠷〰ㄴ㠷捤㠳愹㠸捤搰て㈳〹㤱挸愱攴㤳㐸㘲扢㔰敢昰收挱愴昴㔴㐸ㄲ敥昴㈳㐰戳㔶ㅦ摥㜴愹㈹搰㈳戹㘷㡡㤱㈵扡㘸㠶㝥㤴㠰〷㈲昱ㄱ㍥㠵〴㠹つ攰㑤㍦挱㝦㘶摤挹搴㝡㔴攰㙥㘶㐸㌰㐸晡慥戱㥥㡡戱㈹㕡㔰晤ㄸ㠰摡〸㐰挳㠴㔱晡㡡晡㔹愴㡦慣愸っ㘶㠹愲㝥㉥㐸㌰愳慥〶㈸㌱ㄷ㐹㡣㥣〲搲㝦㐲昰㜹〰㌵っ搰愰挲ㄷ㔸攱㜱㔶搸っ㐰つ搰㝦ち㔰ㄶ摡㌶㘴㑡捤㕡㤰づ㠴昶〴㉢㝥ㄱ㐰㕤〷㐰愱㐵晦㡣戹㈵㠶晥ㄲ摥ㄸ愰㠸敤㐹㈴挹㐳㠶慡㘶ㄷ摢㤷㠳㕡㡣㘵ㅤ戵搸ㄸ昳昲挵昶ㄴ㔲㌳㘲晢㑡㐰散〶扣㡦㐶㙣愳愸㈷㘲㡢㝥ㄵ愹㐵搵ㅦ㠴㜷㔸改愲摣㐴㐹㡥㑤㤷扦慥㜳㜶戵ㅢ愳摡㠳挶㈲摡愷㤱㔰㈶㐰㐹戴攴㡢晥㑢㠰㈳㡢㌶挵戶慣晥戵㈰㈱愲戵㤰㈹㠹㠰㠸㐰戴㕦㐷㔲㍦〳愰㙣㠰〶ㄵ㥥㘵㠵攷㔸㘱ㅣ㐰㐴晢㍣ㄲ㘵搱敥㐵愶搴慣ㄵ改㐰戴摦㐰㔲㝦ㄳ㐰戹〰㈲摡ㄷ㤰〸㙤昶っ晤㉤㈴㑡戲晤㌶㤲㤴㉤㈳㙢戳换昶挵愰ㄶ㐳㙦㐷㉤摢晤愸散换昶㈵愴㘶㘴晢㥤㠰ㄸ愳㜷㐷㈳㕢㠶昱晣㈵㜹ㅥ㔲ㅣ㜹㥤摣ㄸ攴ㄳ戹㝤㤷攵㡣昶㤵攴挶㐹敢敦〱ㅣ㔹㙥㡣ち㔲㌲晡慦㠳〴㌳敡㈰㐰㠹扦㐸㤶攴昶㝤㈴昵㉢〰敡ㄶ㠰〶ㄵ㝥挰ち㝦挳ち户〲㠸摣㝥㠸㐴㔹㙥户㈱㔳㙡㔶㈱户㔷㠱搶慦〱㐴ㄸ捤㌹扡攸㔱㌳㙡㈶㉡㐲㝡昴㜵摣㜹昶昶愲㤹挵攵㥡慤㌸㔷㝡㐴㥤っ捥㐴搸㍦摤搷㕥㡦愸扥㜳㠳挰㤸㑣攱㕤㌷攸〶㍣愸慥ㅢ捣捤㘵捤㘳㍢晤挷㈳敦㐰㝣戵㤶搳㡤㝢愱㐶㌴敦攷㤷户搱㔱㈳挶㍥㘹㥦攳晡㐷㠴㔸㐵㡣扡㠹ち晤ㅤㄲ愵㐷摤㠹㔴ㅤ㌶挲戳散ㅣ㑥㜸捤挱㤹敤ㄷ捣戸っ㜴づ㍢戳扣㔱搷挸搷愸昶挵㝦捣敥㍦摡㘸っ敡㥥ㄲ昶昵㈰挱改㐴攸㙡ㅤ搱扢ぢ愳ㄲ㐲㠲昰昳㐶扣改㉣㝣㙢㈶昹戵捡㑦搱㤹昰㡢㌱㘸愷㠰㘰㐱戸昶晢㜴戹敤㈲㤰㙡㌹愵收㍥㠰㌴㘳挹扤昸㐵㤲㄰搱慣敤慢愵挲㌶㝣愲晦〸㜰捡收㑣慡攰戸㡥敤㈵㐷㜰㐶㑣昲㠶〸っ㙤㜷㕦㘴㈱㈸㌶散㤳ㄳぢ攷㜹て㑤〴ㅤ摦㤷㜷づ攴㘵㌴ㄱ㤷ㄷ㘵㐴㤲捤捤散㈶㡥㥦㍣㡢㈰摦〴㕤㑥㌶搶㍦〵㘸㙢㑡搰㘷攳㤳戸摦㝦ㅢ〹㍡㘹㝣ㄲて晡㙦愳㠳慥ㄵ愹㐴〳挴㜱㝢㈵ㅥ〲愹㈶㔲㝥〳愰㝤愰㝦戴攲㔴ㄷ晤㈷攰㕡㠱ㄳ扦㜵〷㉥㤸㐴㝦〶捣㍣㘰慡㉦收㈵づ〱㑤㉡㌳搷搷昴扦㈰慢攸搵搱㐰挵搵㘹攰㈳ㄷ㄰㙢挵昵㉦〸戱㄰㍥㠹户㌰慡㙡㈱㍣搲㄰晢㈸戰㕣っ晡㕦㔹晣愹㠶㜵ㅥ㉢㘱晦㍤㐸戰㍢昵㔹〰㉡慢㑡㘰〰㔴ㄱ愴つ㑤戹㔳挴慡ㅤㄸ㡡戹㕡㑣㥦㐳愱㠸改扦㤰㠰㤸攸㕣昱㐹搰挱攲㤳愰㌷挵㈷昱戸晦㌶㍡攸㑣㥤ㄸ㌱搱〵ㄳ〶㔳㑣㥡㜲搱ㄴ㐵攲㡢㈵晣㍣愲收ㄳ晣て㠰晡ㄲ㠰捦昸㈸㘶㌶挳昸晦〳㥥㡣愷慦㔶捦㜸晡㘶昵㔸扡㕣挲昸㕦戳㤸㉥㔷㝤ㅤ㜱㠴㔰愲挹㕢ㄶぢ攳改〸〹攳昹㠹扣㥥昱扦昹㑤㈳挶㝦つ㡤㠴昱㑤愰〳挶㝦ㅤ㜹㔲㡣㌲㤲戸㘴愰㝦㘰挷攸敡㌵愹㤵㉢搲㜶㜷㙡散搲昴慡㔵扤扤㤷慥㑥昵昶昶㕡慢敤昴愵扤慢扢搳扤㠹㘷㠲㌶㍡㠲㌶〹晡㐶愴愰愳捣㍤㔷捡戱慣攳㜹攴㑥㡣挸扥〱捡㡤㐴昶捤ㄲ晥㜴㈴攴㝥愳㙥挳㐸ㄴ摤㉤㕦㘴晦〹扥捣㠸慣〳㠵ㄴ搹户㔱㡥愴愱慢搶捡㡢つ戱昴愴㐴㘴昳㐸㤹㥥㔴㝤㑢昱㠱㐸㙦〱敢㈰㈱㈲晢ㅥㄲ㈲戲㕦㘲㄰昵㈲晢㜹㐳㤱搱ㄳㄲ㤱㥤づ㍡㄰搹昷㤱攷㤳愰攷挳㈷㐱㌷㠷㑦㠲慥づ㥦づ㝡㌹㈷㠶昱慦㠲㜲㈳挶搳㕤ㄲ晣戹㐸挸戵㔰㝤㉥愷捥㕤㤹昳搷ぢ〱㔹㠱扦㐴㠹换㑡昶㐵ㄶ㤷㌱㉣㝥ㅤ㐰愶㥣㤴㈹㐷㝥㡡晣攵戳㝦挴慢戰慡㥤搸戲慢敥っ慥挷ㅤ挰改㄰摡㌷㈱㐸㄰ㄱ㕢ㅢづ㕤㜶㙣戴攸㄰挵㐰㡡扦挸敢㄰搶㙦㐱㠷㍣㤹昱㘲㐸昱㍣晣昴〵挰㉢㕡昷づ收㉥㈳戸㥣攰ち〰昵户攸戲攱ㅤ㤰搷㠲㠲扡㍢㈰摣ち搸㤳㕥ち㔸攲扥ㄲㅢ㑦㙣ㄵ搳㘹搵㠵改ㄷ愳㙥㕢㤳愲㘹㈶攳搵て㐰㥤戳㤵〱㉥攳〰㘹〵ㅢつ昰慦㘶ㅢ攰㜷㠳㠲扡㝢ㄸ㌴㤹㌲挰ㄵ㤵〳ㄴ㕢㠸㤲昲〰㐵㘹摥〲㐶〶戸捡ㅦ㈰㑤㤸っ昰愵捡〱㕥〲㙣㠴搶愷攱搷㠸戹㙥愲㜳晦㍦㌵㌷攴㘲㉦挶㌵戵㥤㑥㕦昹㌶晣扣搲ㅥ摤㔹扡㈲户㘴〶㔳晡散㔷㙡戶戵㔰㙥㠷ㅢ㕦㜰㔳㔱搰挹ぢ㜵愷捥攴㉡敥㝡㥤㍤㠳挵㌷㕥㝣㜹戲搲㈵㡡㉥挲㈷攱㔰㤳扡戸㤱扡〶昷㤹㜰㠵愸㐴㘰㝤扥㤸攳愲㍦扢㐱㜰慢㍦攳㠹㐳捡㘳㡡搲㌴昶搱㕥㌲㑡敥㝤㐷㕥〰〳摦㐶㈷㘸㔸愱扢散㤲㑦㕣㕦㠶〲〴ㅡつ㠳昴㠸㔲戴扤㡤ㄴ攵搹㐰ㅦ敡㉥散㍣ㄳㄴ搴摤㐱愱愱挶ㅦ㉥㌲〱㤶㌵㔹㉣㌰戱㔵㥡㑣㥢㉢㡡搲㡦〴㌴㤹㠶㔳ㄴ攵㉦㐰扤慣挹㠳挰㉡摡愸㐶〳㝣㙡戶〱㝥㌹㈸愸扤〷㤲愰㝤㤳㑥慦㐲㐲㕦㑤㌰っ㄰㡦㈴〱ㅢ㌲㔷㍥挶㜴昹ㄱ敢㤹换摣ㅣ㑤挴愶ㄳ摦㘲晢㜷愹㘹㜶攴挳㝦㔶㍣攰㔶〴慦ぢ戸㑥㍤㡣敦㌱〸㔹攳扦㐹〴晥㈲扥搳㌰㠸㔸ち㡦㙡挹戱㜱搴摥㕡㐰扣戴搹ㅥ㜲昱搵㈷ㅤ挳ㅤ㐵て搷摢昳㈷挳㘱ㄴ㘷㤲㌰捤㌳㠴捡扢ㅡ愱㠶挷㠱㐵㈸慥つ愷㔶㝣摡㥡攱㐷改昳㘶㠸㌱敦㘳㍢㡡㐶㌷㐳㕥㌳ㄷ戸昶㜳〵扢㈱昵〴攴扥㤰㝥散㉦㔶㥣㈹扡㡤㌸㡥愱户㔲捣㌴搰㑡收㠰㐸㥤摥㑥搴㜲愰〴ㄸㄱ㕡昴摡㐹昱㘰戶㠱㉤㙡㙥〳户戴㜰愶㈳昷㕤搶昷敢㤵㍦敥㑢搰㘸㡢㑡㡤㤰收㑥㠲㕤〰㜱㐵ぢ㑤戵搲ㅣ㙢㐸㍤搶㜰㙣搷戲㐲昵搸摥㐹搴捣搸ㄴ㡤㌹挷㔷敥㤱㔶㔸㝡扣㥥㌵㙦㈰㜸㌷㐰㕣搱攴㔶昴㜸愸㘱㡦㈶敢㔷昷㤸㈲慡愲㐷㕡攷捡ㅥ挳戴ㄹ㜳ㄹ㉣㉥昵收摣愸挹晦扤ㄶ换㡤㘶慤晣戸㌷㔱晥ㅦ㙢㌰㘷戸摤慡㜹ㅥ昴㤵〸捥挳㍡㘴㘴づ㌶ㄲ㝡㥣㘰〲㈰慥㘸つ㉡收㜰㙦挳㌹散㘳晤敡㌹攴㠸慡㤸〳つ㐷攵ㅣㄴ㔷扣搸㤷扢㐰㤲昶㠵扢㜵㉣ㄴ㔵戴〲㔲㜰㘷㔰戰㔶ち㤴愲㘵㤰㠲㍢㠲㠲㉢㔱愰ぢ挰㐶愸㔲㐷慤敢愸㝢慣ㄱ〹ㄷ㙤ㄵ㤵㤵㌴㌴㍦㌰㤲㠳晣㈹慡㥢㡣敥㈳㌵昳愱ち㑡挱㠷㙢收㐳戵㤴㠲て㔵捥㘷ち㔸㐵㌵㤴㘵㌲捤ㅣ㌵㄰㝦戸ㄲ〸㔸敥㤰摡㈶捤摦㕦搳㈱㌵㔰ち㙥慢改㤰㕡㈹〵敦慢散昰㘶㘰ㄵ戵㔰㍡㍣挸ㅣㄵ㄰㝦戸㔵〸㔸敡戰㠳ち㐳㉣晤㉥㐴㝤㤱ㄴ㘲〷㙢扡愷昲㐸挱捤㌵摤㔳愱愴攰扤㤵摤摦〶慣愲〲㐹昷敦㘷㡥扡㠳㍦㐳㝦〰戰摣㍤〵㝤つ戰愱㈹㤵摡㤳摥戳攷㔷ㅤ攱攴㔹攱㙢搷戵摥昷て㉦晥攴敥㔷慥㕦晢捦㙦㍥昰挰㉢㙦摣晤昲㥢㑦㡦慤㝤攱攱㠷㥦扦敡愱㤷㝦㌲摦㍥ㄴ㝡昲㔷挳㠷㙥敡搹㜷搳㡤昶慥㡢㌷摥㜴摤摥敤㍤摢收㜵㌶㌵㌵㌷㕦戸攰㕢㘷㉣㑤摣㜲攳㔳敡㤹搷㑥捦㉢ㄱ㉥扢晤㍤㜶㡥㠷搱捤〴㠵㉣㉢攳㠳㐸攸て〱戴㠵㍡㈸愴ㄳ㍡ㄶ㤱㍢扡搷ㅦ㐶㑦㝣㘴㉣㤴扦㡣攵㈳㐸攸摦〷挰㔸㈸扦ㄳ㍡ㄶ㔱〹っ㐱晦〱㝡攲㈳㘳愱㙡挸㔸㙥㐷㐲摦〱㠰戱㔰㤸㈷㜴㉣愲ㅦㄸ㠲扥ㄳ㍤昱㤱戱㔰㑦㘴㉣㜷㈱愱敦〶㘸ぢ㈵㈸㐵㈲摢挲㡡愲ㄳ捤换〵㥡搷て㝣っㅦ㠹㈸㑥㈹挸〶〵〹ㄴ攸㝢㠰㑤㤰昱㐱㜳㜲㕢㙡敤慤㘹㑥〹㐸㐱愶戲昹挷搸㥣扣ち㥡㤳㐱㔲㙢扣愶㌹㤹㈶〵㜶㘵昳晢搹㥣搳ぢ㥡㜳㑥㔲㉢㕤搳㥣昳㤴㠲㔴㘵昳㑦〰慢㌸〳㔹㑦て㌱挷〱㐹敥㄰㜳愴㉦戹㍦㘲㡥搵㈵昷㌰㜳㔲㥤㉣㈸戹㠶㐸ㅢ㑡㥡搵㘱愵㜹ㅤ㔶挸搴㘲㕢晥ㅦ㙣㐷㘴㐸</t>
  </si>
  <si>
    <t>㜸〱捤㔹ぢ㜰㔴搵ㄹ摥㜳昷㤱扤㥢㐴㔶㐰搴㈰戸㘲戰㘲㘰㐹〸㉦戱㔴戳㥢㈷攴〵㠹㐴愷戵敢捤敥搹攴捡敥摥㜰敦㕤㤲㈸㈰㡥㘰㉢搶〷㔰㡢捦㡡ち㔶㐶慢㔶㐷㝣㤴㍡㔶ㅤㅤ㙢摢㘹敤㑣〷愷㌲搸㘹㐷愶攳〳愷㍡搳搶搱愱晦㜷敥㑤戲㡦扢㠸㤴捥㜸㤳晤昷㥣昳㥦昳晦晦昹敦晦㍡㘷㕤捣攵㜲ㅤ愳〷摦㜸㍣㘸㥣搳㌳㙡㤸㍣ㅤ㡥㙡愹ㄴ㡦㥢慡㤶㌱挲つ扡慥㡣戶慢㠶改愶〹扥㤸㑡㜸挳ㅢ㌳搴㙢戹㍦戶㥥敢〶㑤昲扡㕣㝥扦㉣㠱㡡晤〹㡥㜵㘴慣㤲㌱㉣搳㉣㤷散㈳㔰㔱㐶愰㌷ㅡ改敡扦㠶㤸昴㤸㥡捥攷㠶搶㔸愴㤶搷搵㠵敢挲ぢ㤷搴㉤づ搷捥つ㐵戳㈹㌳慢昳攵ㄹ㥥㌵㜵㈵㌵㌷搴㥤敤㑦愹昱㤵㝣戴㔷㕢换㌳换㜹㝦㙤㝤扦戲㜰㘹摤挲㐵㡢㤲ㄷ㕦扣戴挲㑦㤴扢愳㤱㔶㥥ㅡ㈲㝡愷㡡慡㑣㔴㍢愳㤱㙥㥤㈷㑦ㄵ㑤㉦昴㔲搷挸攳㉡ㄴ挸戹慥㘶〶挲搱〸晤攷㘸㠵㝡㑢挲㕤㍤㍤㍣㘳愸愶扡㕥㌵㐷㠵づ搳㕤昱晥㌵㑡㉡换㝤㘹㈱㤲㍦扤㐶搱㍢㤵㌴慦㑣㕦㙥昰搵㑡㘶㠰愳攷㑤户㘴搵㠴㠷㕥慣㝢㡥ㄳ㈳㕢㐹攱慥㘸㈴㍡愸攸愶㈰〹〵捥㜷㥡㉤㌸㠵㜳㐴ㄱ㙢挴㈸搴挳捡㙤搳〱㑦扣㕦㌹〰㔰㑥挰㔷㐱㘰㑡捥捡㤰㔸ㅡ慡㘳㥥㑦挹〰㜳ㄷ㘲扡ㄴ㔳愴㔸扦ㄴ㡢㑢戱㠴ㄴ攳㔲㉣㈹挵〶愴搸愰ㄴ㔳愵搸㌵㔲㙣㉤捤ㄹ㝢晣㘵㘵㤲晤攸㠷摣ㅦ户扦㥢㙤扦戵攵捤㤷晢摥㌹㝡㈳㠳捤〹攳㍢㡤ㅡ昲㈴〲扥㈰〱〷㐱ㄶ㌲㜶㤴〴㠱㌰㤷㕤㔰㕤昳慦㈳㔷㜵散㜸攸昵㤱敡改〳〹〶㠵ぢ㉡㤳㐱㘵ち愸㑣㜵愶㔲捦搸〷㌶ㄵ㘹㕦㜷昵晥ㅤ慦戴晤㜲昲捡㘷㥦晥搵ㅤㄷ㌰㔸扤愰㌲つ㔴捥〴㤵戳㥣愹㉣㘰散㠸㑤㘵㥦㈷昸㥤愹て㝦搱晣㘸摢㑦ㅦ搸昳㠳搹㉦㔴㔴搱㤲㑥㝡㕢攱㑥㙥㥥㈲搳昶攲㉤㥤戸㜵攰㑤㝡搳㤶㜱㌵㜲㈳㉥挳昲摡㌲〹㍥攲愳ㄶ㔹㘴㐵㍡慡㘵㑣㍥㘲㌶㉡愶㔲㤶敥㔶㜴㥥㌱㘵㥡㔴㈳㔶㔹㉤慣慣ㄴ㘳㘳慢〳㜶㡦㈸〴㐵㌳㠷㑡戹ㄸ戰㈸㌱ち㔲㙥㡦〵晤㍥愷㘸搵慡ㄸ㠳愶搲㥦攲搵〵㐶っ扤㤱摦㕣㙥慡㈹㈳㑣㈴㕢㜴㉤㍢〴㡤㥥㌲㍡㐴㑢㠶㠲㝣攷㄰㄰戱ㄵ摦挴攰㌲㜹〶㝤〵〴㔲〶㤲㕥昰㌱㘰㈶㜰ㄵ攷㔱㠷㐴㙣搴搲㡡㥡㌹㐵㉦户㘲ㄶㄱ㕤㘵晢㘵愳慥っ㔳㡣㤹㈰扤㈰㕣㡢扦慦づ戲ㄴ㘳㤳㡢㤲㑢㤲㜵㜵㠹㐵戵㑡扤攲㠵㤷㝥摤ㄸ〱愷愹㐸昷愹㤹㠴㌶㉣㠲挶攴㌴㐵〴ㄱ〸㝡㐷㠷戸ㄸ慡㐸昶㉡晡〰愷㐰愴户㌵㑥㑤㐶㌵㕤攷㈹挵攴〹㌱㠰ㄴ㜴㘶晥愰搱慣㙢㘹㡣㥦ㄳ㔱っ㍥ㄱ㤰㙡㤲ㄶ愳㠸㤶捤㈴㡣改捥挸ㅥ㤳㐸㔷ㄵ攲㈶㠸ㄴ㉤敢愱㈰捤つ㈱改捣挲㘵挲昸ㅢ㐶㔴ぢ㍤愳〰㑤㘱㕡敢㉦㡤㙤搶昹扡㜱㙣㤱㐴つ㤴㠷搷㜳攰㡢㜶㘹愱㉣戹㈸愸㙡〶捦〸昱㙡搲摤㙡㝣㉤搷㝢㌸戲㌸㑦㠸慤㥥〱ㄴ㈷㝦㡣㜳愳愶ぢ慡愷㍣㤱㤸㤵㍢㥡㙣ㅡ㌱㌹㜹㜳㠲攴愵晣㘹㡥昶挲㤳愶攵㑤戱㜸ㄲ攲散扣攱㘶㉤㥥㌵攰戵扡㤶捡挷㌴㈴搶㉢挴㌳搱愱㈵戸挷㈳戹愹㐶昰攰㜱㔱㕥㜲㤳㉢搷ㄶ㌸慡㐸㠲愰㙤攴㘶㥢ㅣ换㐱扡愹㍦愱㐵昹收㠵㜵㑥㈱㘳扣挰㘱㘷攵晢㑡㜸㌵㘹㡦戴㤴攲㜰㈴愹㌰愲攴〸㍡㘱㌵㘰攲ㄸ㑦慤ㅤ攵攸っ㜶㡢搹ㄷ㤶摥㡡㈰㍢㙥ㄹ晦摦挹㤲㌴挵摥㝤搳㝡㡡搹慤㑡㈶㤱攲晡昱昵〵㠹攴昳〱慡〱㘶〳㕣㐰㠰㜹摦愱〸㔷㔲㥢挸捣㙣㠴㡤㝡㠷搵㠴㌹攸ㅢ攴敡挰愰㐹㘳㔴㐴晡晤㔰㌵ㅥ㑥㥦〰捤扣㕥攴捤ぢ愹㈷捦挱㔰㈰攰ㄲ㌱搴ㄷ㤰㙢愸敦㥢㑢㘰㜲㙥㜱㘱㔹㑡㠰㌱攴㝤㔱㠴㈰敤ㄷ挷摤昹㐰换挷挱㌱搴っ㠸㜵㜲㍤挰㐲㠰㐵〴〲㉥昶ㅢ摡ㅥ戶㐸扤〲㐱㤷㘰搶㔲捣捡ㄱ㜴㤹攸扢ㄸ㙡〸㈱ㄱ愲㘱戱㐴换㠱㤶㡦㠳㘳愸㍦㠴㐴つ㈰㄰〱㠸㘲㤱㡢ㅤ㈸㈹㔱ㄳ㘶㌵㘳㔶㡥㐴慤愲敦㘲愸㐷㠴㐴㈸㐷㡡㈵㕡〹戴㝣ㅣㅣ㐳㉤㈳㈴敡〲㠱㙥㠰㔵㔸攴㘲㑦㤴㤴愸〷戳㝡㌱㉢㐷愲㌵愲敦昲㈰㔵㍡㔹摤㜸㘲㐷㜱ㄹ㘸搷㤴㐴戳ㄲ愷愳㐳㤹㝤㜰昰㐷戵昴㄰㤵ㅢ㝡㄰㌳愳ㄴ㙣㈸㠸慤㔷ㄳ㕣昷㘳愰㠷捥㉢ㅥ㍡㌷ㄸ㍥ㄱ慡つ慡㈳摣㉥慦户摣敦挴慢㙤㡣㔶戵敤ㄲ戹攷愱戶㈲晡ㅦ慥㕡㝡愹㈴挴ㄷ戶摡㐷㑤昹ち〲㕥戸挶搷づ㙦戰扡㘹改㥥㐱㙤戸㤵晣㠲ㅢ㔶㕤㙥㐴㜵搵㍣戳㜸㤸敡㈲㈵㝤戶ㄸ㙦搱㌹㘵㌴扤㤷〲扢搸㈳㔶㔴㌹㘲挴愲㉡ㄱ㕤㜲攲㙡㑤㜲㡤捡㠷㤱㡤捦㉤㐶搱挱㈲㥡㌵㑣㑤㤴㜱㌳㡢昱㡤㕡愷㘶㌶慡挶㔰㑡ㄹ慤㜶㐰㕢㤸扥㐱㥥愱㘴愴㔳㑥晡慡㐹摡搰㄰㑦㌸挸搸愳㘵昵㌸㙦㙢晣㈶愴㌳㝡㔳搶挳㐴㈶㘳㝥收㤳ㄸ㍤㈷ㄷ㐹搹搹㈰㜶摤搴㈷㕡晥㝡敤㤶㑢㜱㘴㘰㠱㠰㝣㈵㝤㤳㥢㜸ㄱ㘱㑦㌶敢㔵收搵㕡㘷攰㤴搸㐱㈷㙢㜵㈸挵㈳㡡㑥挶慤改㠶㥣ㅥ㙢㕡挶㤷ㄳ㔲㉤㡦昹㈶㈸㥣㑡〷慢㘸〸㤷㑥㥡㌹㠲ぢ㍢㠴㐱㈳㔱戱愹〵搹㕤散ㅢ改收㈴摦㤷昷ㄱ㡡㜰㕦㔳㄰㕣戲㤴慤挷㐹㈹ㄶ㜳昹㈱ㄶㅥ收摤㑢愴ㅣ攵㐳慥昴㘴㜰㥡ㄷ慢〲㙢㌳摡㜰㐶㐸敥㌵㔰挰㠲愰㕣㔶㠶㙤㈰㡥㡢㘷ㄱ㤵㔶㘴㍡戰ㅡ愴攴ㅡ㈷㕤㔹〷㡤昱敢㠶戶〴攵㝣晢㝥愱〲昷ぢ扤㍡ㄷ㤷〸㝥搱㈱ㄵ㔶愶晢㌴㝤㙤扦愶慤挵昱敦㌴搱㌳〶㌹㌷㜱攰㉦㑦㕢户ㄶ㘸㤳晤扢摤㜹㠷㝡㕢敦㐰攲㤸㘳愵敦慢愸攵㙥搶攳愲挷ㅥ愴晤攳晣㝤慣敥㤵㠱㈷愶㍣搵㜹攳㠶捤搹愶慢搷散㘷扢㙤㐴搹挱晢㥥扦昷戳つ㡤㡦㥣昵晤晤㙦扣搵㜷㤰㠹㍡〳搴ㄴ〲戸戵挰挷㡢㍡攱㠴敡㌴攴晤㐹挹昱愸搶慢㥡㈹㕥㥥戴っ〶㙤㝦㤲攲ㄴ搵搰㠹戲㘴敦㈰改愲戱㌲搹愲慢㠹㤴㥡攱㌰㈸㍡㥤攰捡愴㥤て㔰扤摣慤攱㝡㐶换㔴㈶㝢㜵㈵㘳㈰ぢ㘵攲愳㤳昳㝡挲㠷扣挹㠸㥡㌱㠸㡤㠸愴㘸㑦㑡㈲搰搳晢捣愶㌳㉤捡㤰昱㑤㜰㌲戲㥥戱挷ち㙢ㄲ㤳㈴收㤷晣㈷改㈷㉥㕦㍦搱慢捤昱换㘵愱ㅥ搲ㅥて㘹挹㤰㌹挸㐳ㄹ㍥ㅣ㌲愸搴搶昴㔰㕢㈶戴愰㜶㔱㙤攸挲搹㔴散ㄱ㔷㠴㐴㘹〱挴戱散ㄹ㈵攰㠹㤷搷搸㐸㠵戸㈳戳捦㍤㙥愷㙣㍦㕥晦挳ㅤ攵㌸〱㔶〳㠰㕥挲㙥愰挳㔰㌱愲㍣㈹挸昷愸㔴攵㈴㈶愰㑥㐴捥㜷㡥攴〳㠴㈱㥦㘴㈸㈴ㄱ捤搹㕤㘴摢㠸㈱搴㜶㌱戶㡢㕡〸〳づ㙥捣㔰㜶挲㤵㉤搷㔹㑢慤〹搷搹㐹㙢ㅣ㕤㘷㠷㡤㈸㜲ㅤ搴愸㜰ㄴ㤷㑦㈳㜰㑡㕥っ㐳挹㡢㤷㈳てㄱ㘰㈸㜸㠵晥搶搹つ愱㍦搴户づ晡搳㘹㔸愶㠲捣挵ㅡ〸㤴搶㥦㐹㔸攸㉦㐲摦㐲㝦户搰〶㈷昴户㡤㝡愵昴ㄷ愵㈵攳晡㤳愱㍦㉢散摣㘴慢㘸㡥㍣攷愶晡ㄵつ㤱㥤捦㔴慤摡㉢㝦扡㠱㙤戵ㄱ敤攷㐷㉢摥㕥摥搴戱㜵攳攱㑦㌷散摡㌹捡㥡㘸慤愵扢つ搴ち攵ㄹ㜵㑢㘳㜷㠸㡥捤愱戸㌲愴㥡ちㄹ昲〲㝡㙦挵㐶捣㔰㡣ぢ㕤㙤愴〶㙢〵愰㡦扣挹㙥〸㕤慤愴㡥㠳慥慥挷挴捤㤸㠸㝡扢戴慥㙥㈰㉣㜴㠵㠲㕣攸㙡㔳㥥慥㌶ㅥ㐷㔷㈸摦㈷㜴㜵ㄵ昵㉣㕤㡤摡㉡㈹ち搱㈳㌶㈲搳戶敢摢昷㑢㥦户敥攱戳㍥㔹攲摦㍥㤳愱捥户㜴㜵㌳戵㤶收改慡㜵㌴愱㙢ㄴ㍣㐳㝣㘴㐸搳捤㤰捥改搴㤹攵㐶㐸ㅤ㡦〰〸て愴㔲搲㤴㠳づ㜱㝣㄰㍡摣㐶つ㠶挳㠳搰攱㉤㜶〳㥤㈰ち㜱㠹㍥扥ㅦㄱ㌸㍤ㅡ㠹㔹㐹㙡㉣搷昹㙥愵攱搳㘸㌸攷㔰ㅥ㐴摤㡥㌵昲㙤〰攵〴ㄸ㉡㌰㐱晣づ扢㈱㠸㉢搴昱搳㐷摥づ戰〳㘰㈷挰㡦〱敥〴昸〹挰㉥㠰扢〸戰㌸〰㝡㜷ㄳㄸ㝢㠲〸㌰ㅥ晡挸昷㄰愸㜴〷㌹㝤〹晥㤰㔹㠶㠴㐱㠴ㄶ㌱㜴㍦㠶㜰㍣㘰〸㈵㠲搶〳㜶〳ㅤ㈶㕣㡦ㅡ昲㙥〲㘳㑦㄰㉥㈸㌸㍣㐸つ攲〰㜷㉢攰〰攷ㄳ㐳㝢愸㈱㉥戹ㄹ㥣㑤㜰㜸挴㙥〸づ挲㘰㌱㘷㌷㠱戱㈷〸挳ㄵㅣㅥ愵〶㜱㠰㤱ㄶ㜰搸㍣㌶昴ㄸ㌵挴〵㌸扢㠱㕡㠲挳捦敤㠶攰㈰㕥㈷收攴㘹〹慦㔵㜰㜸㤲ㅡ㤵㙥㠶㤷〳ㅢ昵㍤㠵㝥㐳㉡ㄵㅡ㉢㑥っ摦㉦㌰㤴昷㥢㠶敦㘹ㅡ㍡㉦扡扡愳扤戹ㄵ户㔰愹㜹㙢收搵㠷ㄷ捣慢㕤㌲慦㜶改㍣㜲搳挵攱㤱㤴㌱挲㍡㙣㐳ㅥ搸㍡晤攵㌷㕦つ㌵摣晥搹戱攰戶扥搷㜷戰㜶ㅢ㔱昸ㅢ㐳㄰ㄶ㈱攴㝡ㄶ㑣摤っ戶㌰敥㍢扥攷愸攷㙥㌰搲㤶晦戴搸㐴づ敦晦攸㡢㌷㡥㍣扣㘲晦昶晤㥦㐴捡㍢晦挸㥡㙤㐴愰㜳晢㥦攲晦㔹摤昹摣㡢ㄷ㐹捦て敦摢挵㘰㔴攳搴㘴㔰戳㈸㐵㑢㔱㡡搸㠸摤攵㝥㝥敤攲挷㔷㙣㤹㜷摦㙤改㡥捥㡦ㄸ㉣搳㠹搲愵愵㈸㝤挷㐶摣昳㘵晦攵敢慡㕥㙡㌹昰攷㤷摥摣㌴昸挶てㄹ捣摢㠹搲㈵昶㠲㝢㍤㔷摣愸㕤㝤㘷挳㝤㝤〳㜷ㅣ晡攰㤵㐹㙣㤹㡤昸昵攷㝦㈹㝦㘸换敥慥㙤㔵摦晡摢晢摦昵㝥挱攰㈳㑥㤴㤶㤴愲戴搸㐶扣晤敡㝢㝦戸散昹愳敤㜷摤愴捤㜹㙤搳摥摢ㄹㅣ捤㠹㔲㝤㈹㑡ぢ㙣挴收㥦敤搳扦㜷敢〳㉢昶㕥扤昴挰㙢敦㔶扤挰攰慤㑥㤴收摢ぢ㉥摥搸㜲晢慡㉢慥㘹摡昲捦户㥥㜹扤㘲挵㔶ㄶ戶ㄱ昳㔷㍣㔶㍥㘳攵㠱㡥ㅢ捥㡤㉤㕣㍥昷㐰つ㠳换㍢㔱慡戱ㄷ扣㜷攴挵慡㈷㝦㝦㕤昴昱慥摦摤㝤搰昳敦㕢搸㐵㌶㈲昱㡦挳ぢ㝢慦㍣扡攲收摦㍥㙤〴昶㐸敢㠲㘳㡥攰㐵㠴戸挴愹㤶㉦扡㕡慣㈹扣挷㙤愲㝢搹㔱戸愴㥢慥㐰扣愲ㄶ昵㐸换㑥㡥搶搸㜹㑡㈶㜲摥㌹㈴昵晦㐰〷㉥㥦㝦ㅣ㍡㤷㐶攴㠳〴ㄸ愲㥤搰㈰㝣㕣ㄶ〰㝥捣㘶摢㡡㉡昲搲㙡ㅢ㔱昸ㅢ㕥㄰㐱㔲㜸改㈱㙡㔰㝣摡㑤㕦㜸搸㠳〴愰㔵㌶㡢㤶㘲㉢㠲晢㘱㡣散㈱攰挴㝤㘶㈹敥㌳㙣㐴攱㙦㝦㐱〴㔰挱晤敦搴愰ㄸ㠱㈰㈹㤸㑥捦㘵晡㍥㡤㌲〴挷〹愶〸㘴戲搸昲戴㔲㑣捦戰ㄱ㠵㍦ㄵ〶ㄱ㔳〵搳て愹㐱㑣ㄱ㌷〵搳㈹戹㑣㍦愶㔱㠶搰㈵㔰愷摢㈸愴㐰扦挴扣㜸ぢ㠵㘷㔲㕣愳㌵挳㤰ち敥㙥换换㘷搱㘰捦摤换ㅡ扥慣㍦搴挰愰㘸㐱㌳㤸㑦㤳㐱户愰㍢㍥ㄳ㑡ㄱ㌳㈷ㄵ捣㠴㐲昲㘶㘲㈷㘲收㘹〵㌳戱㡢摣㤹攵晦〵㍦〷挶晥</t>
  </si>
  <si>
    <t>㜸〱捤㕡㙢㜰ㅣ搹㔵㥥㍢㌳摤㥡ㅥ㐹搶慣ㅦ㕢晢㈴㤳㡤㥤戵㈳㝢㑡㘳㕢戶㥣攰㜸愵㤱敤搵㐶戶ㄵ㡤搶㠶攲㌱摢㌳㝤㕢敡搵捣戴搲摤㈳㑢ぢ㘴㕤散戲㔰㠱㔴㐸㈰㄰㈰愹㑤㈰㈹㉡㈹ㅥ〵〹㈴㔴昱㘳昳昸㤳㑡愸㠲㔰挰て㐸敤㠶ㄴ㔰愹㠴㡡ㄷ挲㉢㙣搵昲㝤户扢㌵㑦挹戲戳㔴敤戵晢捣㝤㥣㝢㙥㥦㜳捦㍤昷扢户㤵㄰㠹㐴攲㔵㈴晥㌲愵㤹㜹愰扣改〷戲㔱㈸戹昵扡慣〵㡥摢昴ぢ搳㥥㘷㙥捥㍢㝥㤰〲㠳㕥㜱搰敥㙢ㄵ摦㜹㑡㘶㉡敢搲昳挱愴㈵ㄲ㤹㡣㤱㐴㍢㜹昸攴攲㠲挱㤲㤱㈶〱㔷㘲㐴〷㔹㉡捤㕣愹㍥〹昹攵挰昵攴搱晣搵㔰捡搹㘲戱㔰㉣㥣㍣㕤㍣㔵㤸㌸㥡㉦戵敡㐱换㤳㘷㥢戲ㄵ㜸㘶晤㘸㝥愱㔵慤㍢戵㜷挸捤㈵㜷㔵㌶捦捡敡挴㠹慡㜹㜲慡㜸㜲㜲搲㍥㜳㘶㙡㘴〸㤲㉦㤷㘶ㄶ㍣㘹晢慦㤵捣っ㘵㕥㈹捤ㄴ㉥换攰戵㤲㘹㐰㈶㐴捥扡つ搳㘹扥㐶㐲㌵㕡㜹㜲㔶搶ㅣ㑥㠷㤴㥥搳㕣㉥攰戵扢っ㡤搲改挲戴敦户ㅡ㙢㥣搹㤲慣搷ㄷ愵㑤ㄵ㡤挶慣ㅦ㉣㤸㕥挳ㅦ㘹搰㝥搲㤳捤㥡昴昷㌴捥㙦搴㘴㍤㘲昴㌳㡤慢愶㜷搹㙣挸㌴㌳㘳㡤㜰づ攷㉣搹っ㥣㘰㜳戴昱戸㉦ㄷ捤收戲㈴㡢搶戸搸㜲㉣㤱㑥攳㝦㈲昵昰愰㌷㔳ㄳ㠵昷㘹㤴㔶㑣㉦㔰㈵㑥㘱㜱㄰㙦㠷扢㈸㉤扡摥㡢㉥㤵敦改挵㌹㉢㍢㡤㜷㐸慦㈹敢ㅣ㠴㙡㡥昷㌰㈹〳㠵昳戰㘵愹㔸ㅤ捥㤲ㄸ㡥㤶〳㜵攱㈸㝡ㄶ攴挱换慥搷㠰㐳㕥㤲㘶昳散㐴㘱㘲敡㘸㌹戰㘶攵㍡昳ㄳ㔳挶㌰㔸㡣ㄱ㌲㡦㠲摣㝢㙤扡㔴捡㍢捤晣昱㠹挹㠹晣攱换昲㝡扥っ挷㜷扤㈳挶ㅥ㌲㡥㠱㠸昴㑤慣挳捥戱㈸㈳㔹㌱㤳㤵㙡戲㔲㑢㔶慣㘴㐵㈶㉢㜶戲戲㥣慣慣㈴㉢㑥戲昲㘴戲戲ち㥥㌸㘵㠶㠶㤲㔱扡昱扢㥦昴㝥晣扤捦㍦昶㠹㈷愶晥晣㑢晦㜰摦㥦〹㉥㍤㝡㠷㝥ㄷ挸㥢㘷㘴㘰㉥㥣㕦㕣㍡㝡挹㘹㥥㉤ㄶ㑥ㅣ㥤㜷㔶㘵摤㤱㝥㠰搲攴搱㑢收〶㝥愷㡣扤攰㌵昶戱搷㝥㤰摣搲㠵㠵敥㜷㍦挰昶扢㐱㠴昸ㄶ摥㥤敦晦昹敦晦晤昰㙦㍦晢搱㉢敦戹敦攱㙦晥昳㡦㘹慦〸㉥㜷㌵昰㍤挸ㅣ散ㅡ㜸愲㜰愶㜳攰㘸搸愲㜱㉦挵摥〷愲摦㑦㜲昶攰昹㠳挵搳挶〳慣㝤㄰㐴㠸㝦㡣〶晢摡ㄷ㕦晡换㐷㍥昷摤昹て㍤攷ㅥ昹搲扢㍦昱扥㤱㌷愰昹㥤搱㙣捤㝡收㜵昸㝦㝢㘹ㅤ㉦㘰㙡㜶ㄳ㔳㄰㔲散㐹晢戴㕤㉣㕡㤳ㄳ收〹㔳攳㐴散搶㜹㜳攰ㅤ戱慦㌹㑤换扤慥扣昹㠱ㄹ搳㤷㙤攷ㅥ㡦摡㘶摣㔶搳昲敦ㅦ摣㔸づ捣㐰摥搷摢搶ㄶ搲搷慤㡣戵㉥㝤㌵摥て昵㜶扢㙡搶㕢㜲㝡挳〹㥢ㅦ散㘹挶㑡㜷慢摢户㕥昰攴扢戶㕡晢摥㘸ㅡ㥢挳扡㤲摤愷㘵搸ㄴ扥㔷扥戴攲晡戲愹㕥㙦扣戱攰搴㔶愵㔷㤶摣㕡愴愵㔴㍤挰愶㈸摣㡣㕦㘹㐲㔱〴㄰敢愱捥㕡晢晣㐶㈰㥢㤶戴昰扥㙢搲ぢ㌶㤷捣㙡㕤摥摤挵ㄲ㡥㠹㠶㝢扢慡㉦戸戵㤶㕦㜲㥢㠱攷搶扢㕢愶慤㜵ㄳ㈱捥扡攴㕡ㄲㄱ㉡捤㤴㄰㠹㔴㑡㠸挴㕢〶㠵〹捡昵ぢ㙡㈲㍡愶㤸〱敢㥥㙥户㉢㉣㐲㍢㘸㔱㤷昴挹攴挱㕢〸㔳㜲㈹收挸昶㡣ㅤ㍡㜱ㅦ㈶昷攱敤戹搵㍢㙥捤摣晦㉦㜳㌲戹㉦搲晥晣㍡戶㠱㐷捤愶㔵㤷摥㡥㈸㐲昰㡤㡣㍣㠸昶㈲㔶昳戶搶㘳摣ㄲㅢ㘲㔳扢敥㔸挱㡡扥㈲㥤攵㤵〰㜵㐰ㅡ㤹っ㑤摢㤷㡣㠷㔰㘵扣㠹攴㈰㐸㌶㥢搰て㤱㐹捦ㅡ㙦づ换ㅡ攳昲敤㙦㌰挴㌲㠶摡搰㠰㍥㝣慤㜱挱昵晣㔴㙡㤰㤶㡦㥡晥㑡㐰昷摣戱㤱㕢㠹昱㌰挹㘱㄰㡤ㅢ挱㉤昷㉦㙥ㄴ㘹㙥搳愳㡤㔹㘹㥢〰㐷㙡㜵ぢ㔳㙢㠴晢敤慣昴㙢〶㌷收㌹慣㤵つㅤ㌹㉣晥㤱〶扤㕦㙥〴戳㘶㘰づ㌵戰挵㘳㤶っ㌰㡤慢㕥㘱㡥㍤㐷㔵㕤摣㍢ㅢ㤵㈰㈱愷戲ㅤ㔲㠶㔵㐵㈸〹ぢ〷敢㈵㤱㡡攸捥㑡攰摤戹〹敢扤㡥摥扤㔵〳㐱㔸ㄷ㘵㜳㘹㜳㑤晡㘴捦攸㍢㥡戲㜷㜹㔱搸㤵㕡昵昱挰愹晢〵扣改㐵捦㙤慤扤愶㜲昰㑥挶ㄱ㤰㌸㘹㝦ぢ㉦摥扤㑥㐴搹㐳敢㥣㥢㑡〵慥㡣ㄲ㙢っ㘲〵㠳摥ち㘱慦攲㐷㈵攳ㄸ㝥戲㍢戵㘹㜴㡢摢㠱㌵ち㠳㌷㘰愱㈵㑦㉡愰㤶㔱〵㔸㝢戴㜱捤昵㔶慢慥扢㑡㝦摡愳㑡晥㡡㤴〱挱捦㜰〴昶ㄴ愸ㄳ㈲㤵敡㐲㉢ㅤ㈸㠹戰㐹㉦㠲㡣㑥搷敢昹㔸愲慦ㅦ㐷㔵ち㌰㑣㍦㠱捣ㅢ㑢㡢㤷收㉦㍣捡搸㕢㍦㜶昵搸㠹挲昱㘳ㄳ愷㡦㑤㑣ㅤ㍢㍥㜱晣㔴㘱愳敥㙦㠸慦挲っ㐴ㄵ扦㤵晥㤱㘷摣㈷㍥㌸晤攱㙢换扦晣昵㙦㝦㘱㑣㝣㈵㙡攸挳㌹㠴㉣ち㝢㥤㐲㐶㝣ㄹ㙣㉦攲㐱扥㍢ㄹ㔳㈸ㅢ㘷㐸摥ち㠲㈰愱捣㡥ㄸ昱挳㘱㔱㄰昶㌰㑥ㄸ㘷㐹摥づ㈲〸㜷ㄴ㕣㍢㠷㑣㥣挴ぢ㤰捦挹㔷ㄳ㐸㥣搴㍦㠱㈵搴㘶㡤ㅤ摡〴㐱ㄴ㈷搱愰搱っ㥡挹愰㠹挴㥦㐲昰㐰〳晣㐹搴搰㠷户〸㥥㤴〱收搹晦搳㘰㝢ㄱて昲摤挹戸㡣戲㜱㠵㘴〱愴挳〰㡢㘱㔱㄰㠰㈹〳㤴挹戴〴㈲〸挱㤴〱ㅥ㐷㈶㑥攲㔳㤰扦㘵〰㈲戶㝥〳晣㈸㙡戳挶づ㙤㠲挰㙥㤰〱㍥ち攱〳つ昰㝣搴搰㡢〱戵㍣㈴摤挶摥慤㙣㘵㕦㜵攴㜵〶㥢㍤㌶㡥㉦愵㤶ㅦ戸㉡㌲㡥摡戳敥㘵㌷㤸㜵晣戵扡戹戹捦㡥㌲搷㔶㘴ㄳ戸挵〳㝣改愹㜳搷搶愴㘵搸㘵户攵搵攴摣散敢〱搷挰ㅣ㤸㍡〵㘹㤲〲改捥戶㙡愰㙥〱㉦㐱㑡㘸摣㘰㝢㈳慥㍡㐴㜵愰㈳㤵㈵ㄶㅥ㙢㕢㜴挹〹敡㜲搸㔶挸㐴攵㌳㌶慣㔸㕢㤵搶㤰扤戴㠲㐸㌴㍢㙡㕦昴ㅣ慢敥㌴㈵㈷㘳㝦挸㍡㉦㤷〱晣ㄶ㕣摦攱㜹㜵搴㕥昲捣愶扦挶㍤慣戶戹户慢愴㌶㍢捤㥥㜱㥡㍥㠶㔱戳挸晣㤸㕤㕥㜱慦攳㌲愳搵㘸㕥㌴搷晣搷挵慣㌰㕣㠴㐹㑤㡤㐸㡡㘴㔲㘴㤲㤹㍢㥤ㅦ扤ち㘹晢挲㐳㘹ㅥ㝥ㅡ㜸㑥戵㐵㠳愹㐱ㄸ㔱搲㈴㙡づㄳㅡ攱㔱敦㙥搵㌱㠵㍤㔰㤳敦摡㜵㈵㌰㄰昵㙣摤㄰㈹㘸㔷㘳ㅦぢ攴戱㡢㡦捦戵て㘱㍦搰攵㡥㐶㐰户㙢捣慢挲㜵攸㐲挴挱昴㈸慣㑣㜸〲㑢扤㙥㤹戵ㄵて㍤㜴㑦㍢㝢〱戰㘹挴㥥㌷慢戲づ戴搷㌰㠳㍤㘱㠱戰ㅢ㠷㝦㍦㙡㉢戹㡤㠶㐹㤷攳ㄵ㐶戹㘶搶㘵挶㥥㙥〵㉥㑥搷㠶つ愲晣㌲慡㌲㌷㔰㘵㙥㠴戸捣㕥攴㈹㔰攵㈹换㕤㌶㍤㈷㔸㘹㌸戵っぢ㍣愹扤㉥㝣ㄵ昱㈳つ换挷㈹㡥㈵扤㐰㉦㠴㕢㤸敥〲捥㐶㌴ㅤ愷ㅦㅥ㥤ㄴ㍡晥㠹㍢㍣㈴㈰昲愸つ挵戰㈱㑤㈳〸㘷㈸㔲改㘶㝣㙤㜹昳㘹搴愸攰㈴㠸昱搹㙣㉣㐷ㄹㄶ搲㠴搹㍢㈲㐸晡㙣㜶摥㌵慤ぢ㈶敦㘵㠶愲换挸っ愶㤶愱挶换ㄱ搳㤷〰㔵㜰晣㕣㜷㉣改㘵㔸㔱挶昵㘷㥡愷〱㍤㥣㐳愰㥢㔴㐲搳㠶㌳㠳挶㥡㡢㘵ㅤ㡣㤰㔲攷昵敡㕣㥦晣敦扣㜳㑡攱㡣㙣㌶㠵㜷㌳㔶㐸ㅣ㄰㜱ㄸ㠴晡昴㌰㍣㐹㠶㔵㄰㡤戸戴㜷㙥扡攱㌵㐰㌸㈱㕡㕡㕤攳ㄱ昸㘷〰㤲搵㠹㐱㔳㡡っ㜷㈰㝤㍤〴昹ㄹ昴㐱慥攱敢㘵㜸戹戴戲㘱㝣攵㠹㠲搳㤱㑣愶㌱搵㝡敦㉤㐹摦戰ㄴ㔱㤶敡〸㈰〸㝢昵㍡挸㝥㉥ㄶ挸慦㜴㕥㤳昵愱㠸㙣搶㔰挱㉣㉢〸㠸㘳ぢ昰㍥㉢㥢攵昴ㄹ㉥挹ㅡ㠸㈰昸换攳改搸戵〴ㄱㅦ㜷慥㠴晥㉥㤰〳昱㑤搴㉤㘳愵㈰㑡㘴扣㌴㍣㄰㐱戸挸㌰戴攵㤶㍣㡤摥摡㉤〹㉢㤵㕢戶愲っぢ㠲搸㌲㔶〴㔹㈸愲收㝡ㅤ㔹攳㍡㠸㈰敥ㅣ挰戰㐱㠶㑤㌲搰㐵㌸摦晡㔳㈰㕢㜶㥣捥ㅦ挶㘵摤㤱晣ㄷ㍥㥢㉦づ戲攳㑦㠳㌹㤱ㄵ㈵搰㔸㍡昷敡挸㡥㍦㠳慣昱㙥㄰㐱っ㤹挷搳㘹㐷〲挷搰㡥㑦㈳㜷ㅢ㜶㈴搸㔴㜶扣㠱㡣㈰敡散戲攳捦愲攲搶㜶㈴㍡㔵㜶㝣㈶捡㈸㍢ㄲ愲挶㡡戰㈲戲攳戳挸ㅡ㍦㐷㐶挲搷〱っ捦㤱攱攷挹㐰㐴慢散昸ぢ挸散㡤晤ㄱ㈷㤳挰愴ㄵ㑦つ戲攲㝢挰ち㉢ㄲ摣挶戲〹㘱㈳㉢晥㈲戲挶㉦㠱㠸ㅡ〹㑢敦㡤㌲㈹晣㙡っ㘷扤慢戴㉦㠲愶挱㤴戵ㄹ㑢换挱㘶ㅤ晢ㄷ戳㕣戵㘱㡥昱㈷㙣㐶㉣㜱㍤㝣扣㐹昷摥愴㙣昵㝤〳㐴つ敦敦戹愵㔲摤搸㘲攱搱㍣㘰敡㙤晢㔳㠳昶㤱㤵㝤㤸昴昷㠱散扦攴搴㍣搷㜷敤㈰㕦〶㌶挳摤戶攷㐰扤㠹㘹㙤つㄲ〷㡥㐹挵搲㑤㝥㈲㔸攷㈹㌸扢摡㜴慦㌷搵摢㘸㍥㉦㍦㤵扤㠶㠶㌸っ㙦摢㔵㝡ㄳ慣㤸㕢㐶㤶㥤㡤昷㠳㡣愶㜲㡣㡢㑣㌹㈷晣㑤攴ㄸ〸㤹㜲っ㠶㑣ㅡ挳挶㙥㈳ㄳ㘵㡢慡愸〹㑢挸昴搰㤰㌸搴㜳挵搶ㄷ搱戶敥㈸㜴㥤〱㑤㙢㐲攵摤㜵敡戶㈸㍢搳㌱㡣㕦㈱昹㔵㤰㙣㡥ㄱ㡤㉦愴㝦㄰㘴㙦㘹愶㠲戳㜳㝣㥡愶ㄷ攸扦㠶晡ㄱ搴慢愸㡤捦㌸扥晥敢愸搹㠳㥡づ〸愷㝦〸㜵㜷愱慥晢㔳㑤㡥愱㔲㤹㤲㐷㑤昵戱㈲晣㙣昱㘱ㄴ㠵ち㜶慣晦〸㑢㜸昸㙥㠲挱㡥㡥㉢慡搰㤲敥㠲㝣挲愰て㜰扡挵ㄳ愸攱㤴㜷㑦ㄹ㐳㥥ㅡ攷㘳挸㘰捡ㄸ摥㤸㜲っ㜱㑣㌹挶㌳愶ㅣ㘳ㅡ㤳㘰㠴攲戴㠹㥦㠴㌸㥡昴ㅥㄴ㡣摦㈱昹㌸㐸㌶挷㈰愵㠴搲㌴〶敤㘰㔰㜵㠳扡收ㄸ扣摡㥡敤㘳晤㕥㤲摦〳ㄱ㌷㐸㔸晡晤㈸挳㠲㘰昸㔱㥡㉤㘲戰㝥捤ㄶ㔰摢慦搹㌳攸愴挶昹㈳㘴愰搹戳㤴㠴㐷晦㘳㤰㐳愵㤹搲㘲愵㙡㑤㕡㘷㙡愷慢挷㈷㑦ㅥ㍦㈹㑦㥤慣㕡㈷㈷㡢㐵㔳㑥ㄴ捦㔴愷㈶㉤㌳愷攲ㄳ搸㡤㑦㠳攴㥥〳㔱㉦昷ㄹ㤶㔴㘸㡡摢〴攳㡤戲挹㘳㥤㌶昹㉣摢㍦〷㤲捤㌱攴㙣㙢ㄳ㠶愲戶㑤㜸扡て㍦戴扣㠰㕣㡥㤱㐹㌵㝥ㅥ㤹搱㤴挶挵昵戶ㅥ捦ㅦ㝣㍥ㄸ敦扤㤷㍦㡦㝢昶捤㈴晡愷〰㡣㐲㌸㤱㑥扥昵捥㘴㜱㙤つ㐱ㄴㅦ敤敤搰晡〷㤰㐳慢戶攳ㄷ㈵㌲戸ㄸ㕦〴ㄹ攳㤲攳㥤㤸㡥愷㈳摤㍣ㄷㄵㅥ〹㝦㌳搱㙦敥㤱㌱慥㑦搵攳㈷挴ㅢ㍦㌰慤扤昴昴昳㉦㝦敡㙤㠷㍥昲㠷慦㐶扦㑦晦搴晥㍦戸昸㡤愷㍥㜳敥㤵㑦扥晣戵㑢搵ㅢ攷〴㔷ㄵ户㠷摥㉢㥥㌳㔰敢㈶㥥扥㍢慥愹愸愱昷㡥㉢挷ㄵ愹㈶敢换挸㡣愶挴挷昰挳〹ㄳ愷搰㠳㔶㔲㡡㝤〵㌵㘳㕣㌰㔴㙡搷㡡㠱ㄷ㘹晦㈳㘳ㅦ挷㡦敡戹㥤㠲㝦昱㔵愶敦㐵㈶晡敦㜳㘱昹㤵㜳㠲㡢㙣㤰愲挵㐸㥦㍥㐵㈷愲㠶摥扢慣ㅣㄷ愸㔲昴慦㤰㠱愲㕣㘵㑡搱㐲愷愲㝦㡤㕡㡤㡢㘷㘲㤰㤳敤昴捤㤸晡ㅤ㘸捣昹〸㥣昸摢㠳㈵㜷㝡敢挳昵㕤㜱㐰ㅤ㡦㉦晣て戵㙢愶慢㍥敥ㄲ〲ㄹ㜷扢攲㙤昵挳〵㍡㜶㌳㌴㡣昳昳挰㠱㜶愹〳㔰摦摦慥㥤㙢晡昸㤴㈵慤㔸愲て愰㤵㑥愶挴挰晢慢攸ㄳ㌵戶㠰㔸挰昹㘶慢㘱㐰㠷晢〷ㅣ㈸㘶㥣㐰ㅤ挸愹愳㌰ㄸ㡦昴扦㈱〹扦愶㙡㙦㠱〵㙦㘳㤴敥挵挳㌱㤹戲挶摦㠱ち㠶㉡捡㘳搵ㄸ挳㤱昲ㅢ㤶摡㘹晢愵ㄴ昲挰攳ㄸ挳㜶攱㜱摦㠹㍣敥收戹摦晣つ愶㤷捦㠹ㄷ搰㜳㤰挷ㅤ㡡ㅣ慢捦攳づ㐶つ㝤㤷㠷っ㝦〳捤搲㜱戵搵昱慤㤵㠳㙡㌶㜷攲㘱㍢慣㘶挴〲㈲㜳敡㜵〵㘶㐶㜰搶昷昰戵㜳ㅥ㔷㕡㌸攱攳㙦ㄱ愲㍤ㄸ㔷㕤㍣㍡挵愷㐹㐳㤵搸㔹户慦㜸㌸㕥づ搹㜳㍥慥㈲慤っ扥搶〴〱晥㝥攱昵㜰ㄱ〰㜸㤹㘶㘴攷㌱ㄷ㠷扥攴㐰㘴挷攰戳挳ㅤ㑤摢ㅥ昱㐷捣㈴慦〸敥散㔶㔲晦㍡〶㡢㉦扤慣㡥㑢慦戴㜸〸㔳ㅣ㙥搸㌷ㄲ捡㌳㜱㐶㑤ㄸ㉦㠲㕦㝦〹㠴㕦㈱搴㐶ぢ㤲㌵扥㠱㥡昰㤲攱㄰㜲〹㡤㥢㐲慦㜲挴摡ㄷ愸㝤捦愷挸攱㘱㙡ㅣ㈷挱㤸㑣㉦搲扦〹搲㍥ㅤ㜵扦摣〳〳㕦敥㥦搰挳㜸〹愴晤㘲晦挲㉡扥㤳㈲〹挱愰捥㤷㡢㤳㘰㘴㔴挳㝤ぢ㤹敤㠶扢㝢攰㜰摦㐶㡦㥥攱晥㤵㔵ㅤ挳㌱戴㜶づ㤷收㝡摦㈹摡愴搰㍥搴愸㤸晣㘳戱㑣愳㔲㤷捤攵㘰㘵敢て挴戰改攲慢慤昱㕤㌰㠵㙥〴㘳㜲㐶㜶敤㉥〲捣晢戰戰愲扦㑡攳〵搹㜸㥤㝦㤳㌶攸扥愵晢㍥昲㈶扡ち捥㌳㘵ㄸ㉦㐷ㄹㄶ〴敤捥搷㌰晥㡤㈵㥡㕣昱晣㝢㤴㔱㍣㌴㤶攲昹ㅥ㙢㘹㈷挵昳ㅦㅤ㍣㘳搴㡢戵㐴昲〹愱〶㐴挶昸㑦ㄶ愳㤴攳挰㙡㑢晢㉦㘴戰愵愹㈱㤱敤收攲搰㡡敢㝦㐲㉥㌵㈸戹扥てㄲ愷ㅣ〷㔷㕣晦㡢っ搰㘷㍣㤰愰㙣戵㑦愶㌱昱〴〴㌳愸挸㠸㠴愰㌸搵㤰敡㙥挸挵㜲〵㐵㈹㡥㘴㌷挷昰晦〱㌷㔷ぢ敦</t>
  </si>
  <si>
    <t>㜸〱捤㕡㕢㙣ㅣ㔷ㄹ摥㔹敦慣㜷搶㙢㝢㜳敢㈵改挵愵㐹搳搶挹捡㤷㕣㕢慣㜴扤㡥ㅤ愷㑥散搸㑥㔲㙥摡捣敥㥥㠹愷㤹㡢㌳㌳敢搸㈸愸扣挰ㄳ扣戴㕣㔴㔴搴㔲〹㈱攰㠱〷㈴㠴㔰㕦㡡㤰㐰㈸扣愰㑡挰〳〲㔵㐸㍣㔰愱愲扥昴愱愸㝣摦㤹搹慢㌷㥢搴つ㤲㑦攴㝦捦昵㥦㜳晥摢昹晦晦㈴愶挴㘲戱㡦㔱昸换㤲㘰攵愱愵つ㍦㄰㜶慥攰㕡㤶㈸〷愶敢昸戹扣攷改ㅢ㜳愶ㅦ昴㘰㐲戲㘸㘲摣㔷㡢扥昹㘵㤱㉡慥〹捦挷㈴㌵ㄶ㑢愵戴㌸挶㠹㠴㝦搹㕡㐳攳慡㑣〲㘰戹㌰㌹㕦㝡ㄱ㔸㤷〲搷ㄳ㠷㠶㉥㠵㙢㈷㐶㐷㜳愳戹㈳挷㐷㡦攵㐶づつㄵ慡㔶㔰昵挴㠴㈳慡㠱愷㕢㠷㠶ㄶ慡㈵换㉣㍦㉦㌶㤶摤㙢挲㤹㄰愵㤱昱㤲㝥攴挴攸㤱愳㐷㡤㤳㈷㑦㘴昰改搸昹挲攴㠲㈷っ晦㕥攱㑣ㄲ攷㝣㘱㌲㜷㕥〴昷ち㘷㉦㜰〲攵㤴㙢敢愶㜳㡦㤰慡愴敤昸㤴㈸㥢㘴㠲㄰㥥改㕣捤㘱摢㉤㠴㐶敢㜸㙥ㅡㄴ㉦敢㝥㔰㄰㤶戵㈸っ㙥㈶㘳㤳㘶挲ㄳ㑥㔹昸〳昶改昵戲戰愲㘱㍦㘵㕦搲扤昳扡㉤ㄲ慣っ摡㈱摦㘶㉢挲〹捣㘰愳摦扥攸㡢㐵摤戹㉡㌸㐵戵㘷慡㘶㈵㤱㔰ㄲ㠹㔸捦挱㑥㥢㤱扣挹㑤㝢攵挲㡡敥〵戲㐵慥㡤㜶㥡摢㈴㈱㜲攳㉤摢愲ㄴつ戵慤㈲㥢㤶㑣晢㜹攱㌹挲攲㐷挸扣攱戶㐹㤲㈶㈱改敢挴愹㥤㠶戴㔰晡㈲戹㤷㐷㐱㠷㤶㈲搰〰㤲㘹㠰挴㐴㝥㜲㕣敢㘳㕦〶㐰㐹㝣〰挵㘹㕥挳愱㜸㔱㡦ㄷ㑢昱㘲㌹㕥慣挴㡢㈲㕥㌴攲挵慢昱攲㑡扣㘸挶㡢㉦挶㡢搷㌰愷㔶㔲扤扤昱愸捣㍤㕥挸晣㜱攲昴戹慦㝤攵㙦ㅦ摣晣敥㉢ㅢ㤹〱㑣扡㄰敤㘷捡搳㙦㠰愹つ㜹ㄹ换㡤昰摦㥤ㄵ〵㝡㘲ㅣ㌵㡥ㅢ愳愳㤵愳㈳晡戸慥昲㐴㜷换㥥摤㤸㥢㌱㉥㥢㑥挵扤㈱昹㤵㌱愶㑤㉢㄰㥥㙣っㅡ昸〹㘵㑥戶晢㡤搳敢㔰搶㜲挸摡摤㐶㐱㜸〱㠴㍣搸㘸昰晢愱㐹摤ㄷ㡤收㜰㠴㝢搲慤㍡ㄵ㝦㕦攷挱愵㐰て挴摥昶戱〶㤲㑤换㤶愰〰挲㤷㕢㝡愴㝤搹㈵摤慡㡡晣扡ㄹづ㍦摣㌶っ㔵㜰㑢户ㅦ㥤昶挴昵晡攸愶ㅤ攵㘱㈷搷㈴敥㑤愷っ㠷挲㝤つㄵ㔶㕣㕦㌸㜲㝢挳昶㠲㔹扥㈶扣㈵㐱㉢㉢㉡昲愸㝢㌸ㄴ改攳昰扣㠳㠳㐲挳㉡㥦㘹敥㈵愱㠵㔳ㄱㄵ散㜷ㄵ㔴摥㔸搶㑢㤶戸慦㘵㑡昸㑤っ㍣搸搲㍤敤㤶慢㝥挱㜵〲捦戵㕡㐷昲㤵㌵ㅤ㌶愰㜲捥慤㠸㠴㉣戱㄰㉡戱㥥ㅥ㐵㠹㍤搹㐹㤹㠸摢愷扡㌵〹〹㤵扡晢攴㈶㈱攲攴㡥㙡㕡挷㡣㑡㤳㤰㜱晥㔳㕤㜷搲㉣㠴㥣㍤搲㜵㜶〷㈱攵愲〷㕡ㄵ㉦户〸晥㠰て㤶愰㔶挶昷摦ㅥ㘵㐳㉥敦戰搳㈶慥昰㔲攵散㉥㐴㤳㘸敢戲昷晦㥤ㅣ㡦敦㡡㑥㝦㝡つ㤶晥㡣敥㔴㉣攱㜵㜵〹ㄴ敥㐸ㅢ㈴挸ㄲ散㈰搸㐹戰ぢ㐰㝤て㘶昲戶ㄴ愵㌵㔷搶㤵つ昵㠶㔹〹㔶㤲㉢挲扣扡ㄲ愰て慥㐴㉡㐵㜲戳〸晣㑤挱愴扦捤慢㑥摢㐳㜰ㅦ挱晤〰改㜴㉣昹〰㝥㘱愳戵〷昹戳ㄷ㘰戰㜶搵つ㠵㤲㤹㡥愹㌴攳㥦晣戲愱〳愳挹扢つ捥㠷慦摡挰敢昷昴㜴愲挶ㄹ摤㕦〹愸㠸㕤〷㜹㕣㙤ㅦ挱㐳〰㤹㠷〱捥㥦ㄱㄶ搴昸㕥昹㉤㉡㙦愱㍢摥㡦攴捥㝤昶搲㠶㔳㕥昱㕣〷㕥摣㤴ㅥ攸昹㌲㥣〰㕦搱㤳昶㥣㕢愸〶㐹晢㡣㠹㥦㡣扤㈸㔶㠵ㅥㄴ㘰愶㠳㝥㝢づづ㠴戴愳戳㤵㜵搵づ敦晥㈹攱㤷㌵㍡〹戳㌰㑢敢㐹搴㘰㘷㌳㌶つ㡤㔸て㠸扡搷㕥搰攱㘴〴ㅡ㈶つ换㔵㘱㡤㉢晢㘵㕦㙤㜵㍡㙡〱㐳㔶㔶㥢戰昴挹㡥㄰㔳㡣愴㡣挱㌲挵㝡ㄲㄱ㙣搷愰㡢㠱㘹昹戹㠸扣戹㈹ㄷ㑥愴㤰㝥㉣挹㥥㑣㐲挰㤲㕤㤹搵慥攸昴㌲收换愵㄰㉤戶㌲攳戹搵㔵㝡ㅡ昷ちて㜱挵戴㐷〰㕥晦捦㑦㥥㍤昰晤㥦㝤ㅣ晤扥〴ㄵ㤲㐵愳㈳愲㔱摥搹挴㡦㉣摡㘳昸㐹㜷ㅢ㔳改戱㜴戴戴户㜱㠸愸搲ㄹㅢ愷㕤昶㠴昴昰㔲戲戱戱㉡晡敤换慥㜷慤攴扡搷挸晣〱搹昲㔷㠴〸攸㌶昵㐵㕥㈲敢㡡愲昴昴戴昸㐷㑤晥ㄵㅤ慥攴〱㠰晥扣㘵つ搵㌰晡挹㈷搰搵㐳〷敥㈰㉡㡦ㄵㄶ捦捤㑤㥦攱㥤㘴ㅤ扥㜴㜸㍣㌷㜶㜸攴昸攱㤱ㄳ㠷挷㐶挶㡥攵搶㉤㝦㕤昹㌳挸㐰㍦散㈹敤愹慦㡦㥦捤㑦扥昲昳扤ㄷ㝥愸㝤㜰㔳昹㔳㌴搰敥㔹愹戴㔳敤㤲㈲㕤挳晡㥤搳㜴㥢搱〲㈵㡤㡢㡥ㄹ昸㝤㐶扥ㅡ戸搳㘶㌰攵〷ㄹ〳〰㔵戹㘴慦㌴捦㑤㡢㠶㡤㑢愶戸戱っ㕡㍤扡㜹〸㕥㜳愱敡〷慥㔴㠲㐷㌶㡦㑦戹攷摤㘰捡昴㔷㉤㝤㘳㝦㠷攱㜰攴昲㡡㜰攰㉦㜸㜰ㅢ敥㌴挹㕤㕤ㄵ㤵づ㝢㕣㜲慢㕥㔹捣㑥㙤〷㡦㐳〹戵㌹〶㠱㠱㉥㉢〷㙥㝦挳㌶搱㥤㈲ㅡ㠷㤰㈹㕢扣戰攴慤愱つ〳ぢ㠲㔵〵ㄷ㠹㜶〸㔵摣㈷㉡㙦戱敥㈲搲攴挳搰摥愶つ戰㌵散敢㡦㥣攴㔹挷㌷㉢㈲ㅤ戵捥㤹捥㐰㔴㥤慦〶㉤㈳晡晡慥㘸〴㥡㌰敦㠰昵㘵摤慢㙣〷慥攰㘰㈸㈱㑢㤴㈴晥㙤㡤搰㈱㥡㔸散晤㕡㤶攱晤㤷㘰慣づ愳㥢戴愶戳搰搱㌰搵搵ㄱ㤵㈶ㄷ㤰敡摢㑦㜲搷扢㔳㙣㥤ㄳ扡㈳戹戰ㄴ㔴愶挴摡㠰㥣㈱㈰攰〸㔶㉤戱慢戵㈹敦㈷捤挸㤷㝣搷慡〶㘲愰㕥㤳㡡慥ㄹ㡢挲搲改捥㘷敡戵㠵㜲㠰㠰愷㡥㡦慥晡昶攱㄰㈸㤲㠸戸愴㐸㍥㈵扢〸㙦敢㈱愸㐳㕢攴㉡㙥㕥㐳㤶㝦㥦㔲扥昷㉡换㡦㑦挵㙡㤵㌴㑢㑣愵㥢㜱昷晥㍡㌵㘹㔷㉤㡣っ㉤㥣㌴㕥㤹㕡ㅦ㕤攵㝥㐳摡㍤挴挳捣㔳っ㔲㜵㉣㈴㤱〲戳慣㕢搶挶㠰㌱敢㤴慤㙡㐵捣改㈵㘱搵㙣戶敢搹摢㠴㕦㌲扦ㄶ昲慡ぢ㕤愲㈰㘶ㄶ㐹戶㕡㜴戰㘵㌳ㄷ搳㜲㈰慢㜴ㄹ㠰㈳慤㡤愰㐵搶搰㌵晦挴挱ㄱ扤㡦㥤㡤搰㕥愶㝦㘰摡㌶㜵搱愶搱㔱慣挷㔷㔲攳㥡愶捤戹㜳㉥㘲摦㑡㔳搷ㄹ㌳散摡㌶㝡㈵搹㤴㑣㈶户㝡挱㠰㔶㈸敦㐷㕥ㅡ㡣㕥搸㍥㐵晡㤳〳㡣㘳摡㕤捣㈶㐷㐴摥晤搲〸昲㍡ㅡ愴〵ぢㅤ㠷㘵㌳戰㐴㥦㈱挷㘵㍤㐵㤵㈰㌵㝢㡤攵ㄵ戸㙢㔳晤挶㡣㘷㔶㉣搳ㄱ㜴㐲㤰㡢㘱捡㙤㑥㕣㐵搶㘰挱昵㑤㘶㜴晢㡤㘵㑦㜷晣㔵㝡攵攵㡤㥤㉤㉤挹㉣搵㤸㌴ㅤ㈸㔰昸㑤搶〷㡤愵ㄵ昷〶㤲挲㔵摢㤹搱㔷晤㙤挱㈸愶㤹挳ㄲ㙡㔵㕣㠹挷㤵㔴㍣戵搵扢㉡㌹ち㙣扢㘶愶ㄶ㠶㄰㤳つ㤵昵㔵㌳搰㠷攰㙥ㅥ愵㤳㄰ㅢ挳㘰㥣㈰㘲㈱愳搰㉥㝡㑣敥㐵戹ㅣ敡㌱昷摡㤲㜰敤ㄸ㐸搶㌳敤戴捤ㅡ㍦㤶ㄹ〷㌸㍢㜳㜱戶㤱〱晣㔴改㜲㤵㜱㜳㤷㉢㐲㡡㑢㍤摤㐰㌱ㅤ〸㐵㠸㝤㤴㈸㑤㑡〲㕢敤㘲㤹㌶攴ㅣ㑡㈸㙥㔵㑥㘷㜵ㅡ㠱㘰〶〶〱㈶ㄹ〱㌴㙣昱㐰搸愰㥢㘷敢㤶ㅦ㡤ㄵ㕣摢搶㈹㜲ㄴ搷㈵搸㜳㤱㤲㍥㌷㉣㡣㘶〰㐸戹㡣扡昴㜵㜴改敢戲ぢ搷㌴㔳㠸戲㑥㕣敥㔵摤㌳㠳ㄵ摢㉣愷搸㘰㥡㙦㕢挸㉡㐴㐸〶慤㈰㈸㡢ㄴ㔸㌸戰敤挱㝡ㄸ㕦㠲摤㌹挴ㄴ㈴ㅤ搹て㠹㡥换扢㕤搹㘲㝥〶攲㉢㉦〱つ㤲ㅣ㔳攵挳っ挳㘶㤶㈶挷っ㍤搲㌸㈹㑣愵㜰㔸㍢ㄶ㔵搸㐸㌰㜳搱㌵㘴㘶㔸㤷㥥㜳昵捡㌴㌲挱慥搷ㅢ㍤敦愴挰㕡㥡ㅡ㉦换㌴㐹〱昱ㅣ㜲㤷㙢昰㡦扤ㄴ㍢㤶㤰㠰㐸㌰挱㤲っ㜹㐸摡挴㔴戵㉦搵改㕢戳㌵㕣晢愳㜰戲昹㤹㙡㜶ㄳ晥昷㉥㥣㌸挵扤愷搳㌲㜹㜴ㅣ㔵敤〴㠰挲〴っ捦搳㌶攱㈴㈷㍣〳愰㌲づ㙦搷㤲摢愶ㄴ㠸㕣戵㤹敡㐸搹㍣づ摣㤰㈴ㄲ㈰㐸㤹㠰㈴挹扥ㄴ㔳づ摡戳〰㝦戸㜵㙢〲㍦㌱攵㌱㠰摡昷ㄹ㘶愶搳㈴㥥昶㔹〲捥㔰ㄹ㤹摣㕤㈴挴㠵搹愶昰㤴㍡敡敦㌰㉥㔴㜵ぢ㉦㌵昳昰㤱〲㜶㙤〷㈵㐸㠴㥥㙡晢ㅢ㐴敢〳づ㠲㍣㜹㠴㉦㝣㠹ㄹ㤱㜶ㅡ戴捥㡤捥收㜳收搶㍣搹戴晡㙢攴ち敥敥㉢㤴愴摥㌵愶户㡡㐵愴㝤搰㈲攳搳ㅡ㉥㜵㌰㌰愶㌰㠲攴ㅣ敤㌹㠰㕡㔱ㄸ敢㙣敡㔵改㤷㜵戹㍣摡㥣㐰慥摦搵㄰㜵ㅡ戵㘱㡢敦戱㥤㜴愴昵づ挹昳昳昴晢㌶敤㐱攱昵㈲㝢ぢ㔱㐵捡㌱㑤挴ㅤ慤ㄲ㑤ㄹ挲㕢搸愷愵㘰挳挲㥤挰㉡㔳㐲㘱㡤㑡㄰づ㘳搳慥〷挷㌷搱㥥〴慥慦愵昸昷敤㙥㑢扡换㘵ㅣ愱昹㔳摦〲㡢㙥扢㥥㈷㘸㜰㠵㙢㔸㤲愷〱㜶㥦㌳换㥥敢扢㐶㌰戴〴㝦㘷㠸捦㌰〶㍣摦扣晡㉢㘰散昸㑤ㅥ㉣攱昰㔱㔳㌲㍡㝤捤㜱㙦㌸㜲㌷慡捦搷㈸㐹慦摥㕥㝥㠶晥戰㉣㡦㠳㡡㔹㥡㑡㉥搶㘶〰晡㝢戲戴㌵㥣㥣㍣〳㜰愰㌰㔹㔸㉣ㅥ㈹㔵㑥㡣ㅣㅢ㌵㐶昵愳愳㐷㐶㑥㤴㑡攲㠸㌱㌶㌶㘶㡣ㅦㅢ㌷㡥㤷㑦㔶戲搲㌴㘱扡㌶ぢ㤰愵㌱㤲㥦㍢换ㄶ慤㤲㙣㜱㙣㤰挶㠴摦愷㄰摥搳㤲愵〹愲ㅣ㈴攷〰〶ち㤳挵㈶㍦㈶㜹づ㝤ㄹ昴㐹㑢扤㠸昷㥦攴㜹昴散㐰㑦敢晢㜰㤶㌶㡣㔸ㅡ慦愸摡〵㌴ㄵ慡㡡㍣挵㘲㌴㠱㤳戲捦〱戰㈸㜹〲晣搵㌵㠸㡤㙣〱㐰㤲㜶ㄹ㤵晥ㅥ㤵ㄴ㝥昶昶㔹愲愶つて㐳㡦㕡㕥换㑥攳昵㙢㠳昷㕦て㙥ㅣ㔵ㅥ㈳ㄱ㝦㘶㙢戸㘸愵攸愶挹扦㥦㐲愰㍥〵ㅥ㥥戳㈱挴挴昸㈸晥戴㑢㐴㑦㠶㜷っ搶扡扤㤴㔳㌰昶搸戳㍥㤸㠴攷㠵㘵㌷㕦㝦慤摦㔱㘳摥㜰敤㘹攳㐰愳愷㤶ㄵ愹㉤㥢昷敡敢㤰愹㠷攵挳挰㌰ㅦ㐲昶㌴㕡㑤㌹晡㝤㡤㕥愴挰㄰㤸㡢㑡つ愳㡦㜴㝤㈲摥愳㍣摤㠹搸㔱ㅥㅡ愹摦ㅡ㠲搳㑥搵收捤戶慦挳㍤㍦㘹〶搲挶㔱㈶ㄴ㡤晡㤵㝣㠱㘰㘲㝦㝥㜲晦戸晡㈳戰攲ㄳ㝣愵㤵昴晣㈶㑢㕡晢㍣愰㐲搵㈳㍥㜶㈹㤴㘰愶搲戵〳〴㑦㄰ㅣ〴㔰摥挴㠴㡥㘹攸ㅦ㐴〳敤㘹攸㉣愵㕦㑡昴ㄵ㈲搱〹㑡〰㘹㤵ㄲ摥㜱敦㌲ㄶ捣㠵捥㜱攳㤱㥢昹㌰搵愰摤敤㌳挲㌷㘶ち愵捣㍢㕡搲㘸㘵攰㈷㝢㜸㘶㥥㐳㌸〸敦ㄸ晦㑤㈲㔲㔴㠴㠹昴㔷㙡㥥㤸㈶㕢㕣㥣㌴收㍤戸㘶扤挶慣㡦愰戳㤲挲摢㑤㠰㘷㝦㘷㍢昸て戸㐶ㄲ㔴㕥愸㉦㔳挵昱㡥ㄶ㥣愶戹摤㜳㙢㡡慣ㅢ昴愸㘵㔷攲㜴慦户收㍤㈴换昸㔸攳扤㜱㡤ㅡ攲挷㤵搷挰㜷摥㌰改㝦㡤㍤㈸㐵〷㉥㝣㑣ㄳ㤸㉢愵㐶㤱㘷㐰搲㔹扢捡㉥愶愲㈵㠸愹搴昷昶㐳昱㉥㥤收㡡戶㔷搲扥㍥㥥㜴改搵㘷昲晦ㅤ晦㙢㍥㐱㜱敤愶㉣㌴戴扤㜶㔱攷㝦攵㑡搹㐵㑢㌸㔷㠳㤵晡㝦摦㠲搸攳㐵㑣㌳㌱㠹㥦攲㥦㜲〵㘰㠶㤵敦攰㈸戴㙦扣ㅡ㔲昱愴㐲㜹㤵〳摦㡥〶㘸敤㔳〸㘶㑡戵㠱㙦㐵〳㌴昷㥡つ愰昲昰㜷捤ㄵ慡攴ㄶ摤ㅤ〷㑢ㄵ㤲㤵㌸㌴ㄷ愰㜶㥥㐱ㅥ㡥扤㈹㤲㘲㤰扢扡㡣扦昸扡㔲扥㔲戹㜲攵挳挱挴搰摥挴ぢ捦㘵㕥晤晢敦摦㝤昹㥤㉦㑥晣昳愳搷㕥㝢攷ㅦ㉦摦晡攸慤搲挴㙦摦㝣昳㌷㘷㕦扦昵敥㑥攳㡤昸㉦㍥㥣㝢攳收攸戵㥢搷㡤㡢㑦捦摣晣摣㡢ㄷ㐶ㄷ㜶っ昷昴昴昶ㅥ摣昵扢〷㥥捣㝥昵晡㉦㤵户晦㜲扦愳挸㥤攰〳摡㉡〰ぢ㑤㐷㤶㍢㤲㥡㝦ㅤㄵ捤〳攸㡦㘷㌹㠳㥤晤〹㠵摤㤲戶摦㡣㐸㌸㠹㡥ㄴ㥥㈸㌸㔵づ㝣㈳ㅡ㘰㘲㐸慢〲㈸〴㔲戸搶搸㤲㠰㘳捦〱搴㑡摦晦〰搰㠳ㄴ㕡</t>
  </si>
  <si>
    <t>$/kWh</t>
  </si>
  <si>
    <t>$/MWh</t>
  </si>
  <si>
    <t>CO2 price in 2025</t>
  </si>
  <si>
    <t>H2 production (parabolic growth)</t>
  </si>
  <si>
    <t>Installed capacities MW</t>
  </si>
  <si>
    <t>PV capacities MW</t>
  </si>
  <si>
    <t>PV installed capacities</t>
  </si>
  <si>
    <t>H2 price $/t</t>
  </si>
  <si>
    <t>H2 export % GDP</t>
  </si>
  <si>
    <t>$Mn/MW of installed capacities</t>
  </si>
  <si>
    <t>CO2 reduction in gasoline substitution</t>
  </si>
  <si>
    <t>1 kg H2 substitutes 3 liters gasoline</t>
  </si>
  <si>
    <t>Electricity per ton of liquid H2 production</t>
  </si>
  <si>
    <t>GDP per capita 2050</t>
  </si>
  <si>
    <t>Share OLD</t>
  </si>
  <si>
    <t>Decommissioning  and substitution of energy</t>
  </si>
  <si>
    <t>GDP per capita</t>
  </si>
  <si>
    <t>Hydrogen export, share of GDP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</si>
</sst>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2"/>
      <color theme="1"/>
      <name val="Aptos Narrow"/>
      <family val="2"/>
      <scheme val="minor"/>
    </font>
    <font>
      <b/>
      <sz val="14"/>
      <color theme="1"/>
      <name val="Aptos Narrow"/>
      <family val="2"/>
      <scheme val="minor"/>
    </font>
    <font>
      <b/>
      <sz val="11"/>
      <color theme="1"/>
      <name val="Aptos Narrow"/>
      <family val="2"/>
      <scheme val="minor"/>
    </font>
    <font>
      <b/>
      <sz val="12"/>
      <color rgb="FFFF0000"/>
      <name val="Aptos Narrow"/>
      <family val="2"/>
      <scheme val="minor"/>
    </font>
    <font>
      <sz val="12"/>
      <color theme="1"/>
      <name val="Aptos Narrow"/>
      <family val="2"/>
      <scheme val="minor"/>
    </font>
    <font>
      <b/>
      <sz val="12"/>
      <color theme="1"/>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rgb="FF00FF00"/>
        <bgColor indexed="64"/>
      </patternFill>
    </fill>
    <fill>
      <patternFill patternType="solid">
        <fgColor rgb="FF00FFFF"/>
        <bgColor indexed="64"/>
      </patternFill>
    </fill>
  </fills>
  <borders count="1">
    <border>
      <left/>
      <right/>
      <top/>
      <bottom/>
      <diagonal/>
    </border>
  </borders>
  <cellStyleXfs count="1">
    <xf numFmtId="0" fontId="0" fillId="0" borderId="0"/>
  </cellStyleXfs>
  <cellXfs count="24">
    <xf numFmtId="0" fontId="0" fillId="0" borderId="0" xfId="0"/>
    <xf numFmtId="2" fontId="0" fillId="0" borderId="0" xfId="0" applyNumberFormat="1"/>
    <xf numFmtId="0" fontId="1" fillId="0" borderId="0" xfId="0" applyFont="1"/>
    <xf numFmtId="49" fontId="0" fillId="0" borderId="0" xfId="0" applyNumberFormat="1"/>
    <xf numFmtId="0" fontId="0" fillId="2" borderId="0" xfId="0" applyFill="1"/>
    <xf numFmtId="2" fontId="0" fillId="2" borderId="0" xfId="0" applyNumberFormat="1" applyFill="1"/>
    <xf numFmtId="1" fontId="0" fillId="2" borderId="0" xfId="0" applyNumberFormat="1" applyFill="1"/>
    <xf numFmtId="1" fontId="0" fillId="0" borderId="0" xfId="0" applyNumberFormat="1"/>
    <xf numFmtId="0" fontId="2" fillId="2" borderId="0" xfId="0" applyFont="1" applyFill="1"/>
    <xf numFmtId="2" fontId="2" fillId="2" borderId="0" xfId="0" applyNumberFormat="1" applyFont="1" applyFill="1"/>
    <xf numFmtId="164" fontId="0" fillId="0" borderId="0" xfId="0" applyNumberFormat="1"/>
    <xf numFmtId="0" fontId="3" fillId="2" borderId="0" xfId="0" applyFont="1" applyFill="1"/>
    <xf numFmtId="0" fontId="4" fillId="0" borderId="0" xfId="0" applyFont="1"/>
    <xf numFmtId="2" fontId="4" fillId="0" borderId="0" xfId="0" applyNumberFormat="1" applyFont="1"/>
    <xf numFmtId="0" fontId="5" fillId="2" borderId="0" xfId="0" applyFont="1" applyFill="1"/>
    <xf numFmtId="2" fontId="5" fillId="2" borderId="0" xfId="0" applyNumberFormat="1" applyFont="1" applyFill="1"/>
    <xf numFmtId="0" fontId="5" fillId="0" borderId="0" xfId="0" applyFont="1"/>
    <xf numFmtId="0" fontId="0" fillId="0" borderId="0" xfId="0" quotePrefix="1"/>
    <xf numFmtId="0" fontId="3" fillId="3" borderId="0" xfId="0" applyFont="1" applyFill="1"/>
    <xf numFmtId="0" fontId="0" fillId="3" borderId="0" xfId="0" applyFill="1"/>
    <xf numFmtId="2" fontId="0" fillId="3" borderId="0" xfId="0" applyNumberFormat="1" applyFill="1"/>
    <xf numFmtId="2" fontId="5" fillId="3" borderId="0" xfId="0" applyNumberFormat="1" applyFont="1" applyFill="1"/>
    <xf numFmtId="2" fontId="0" fillId="4" borderId="0" xfId="0" applyNumberFormat="1" applyFill="1"/>
    <xf numFmtId="0" fontId="0" fillId="0" borderId="0" xfId="0"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NEW!$B$21</c:f>
              <c:strCache>
                <c:ptCount val="1"/>
                <c:pt idx="0">
                  <c:v>r~</c:v>
                </c:pt>
              </c:strCache>
            </c:strRef>
          </c:tx>
          <c:spPr>
            <a:ln w="28575" cap="rnd">
              <a:solidFill>
                <a:schemeClr val="accent1"/>
              </a:solidFill>
              <a:round/>
            </a:ln>
            <a:effectLst/>
          </c:spPr>
          <c:marker>
            <c:symbol val="none"/>
          </c:marker>
          <c:val>
            <c:numRef>
              <c:f>NEW!$C$21:$AB$21</c:f>
              <c:numCache>
                <c:formatCode>0.00</c:formatCode>
                <c:ptCount val="26"/>
                <c:pt idx="0">
                  <c:v>0.32</c:v>
                </c:pt>
                <c:pt idx="1">
                  <c:v>0.35793702064772104</c:v>
                </c:pt>
                <c:pt idx="2">
                  <c:v>0.36328613634262885</c:v>
                </c:pt>
                <c:pt idx="3">
                  <c:v>0.33952963405725894</c:v>
                </c:pt>
                <c:pt idx="4">
                  <c:v>0.30821310838958987</c:v>
                </c:pt>
                <c:pt idx="5">
                  <c:v>0.29863235477279065</c:v>
                </c:pt>
                <c:pt idx="6">
                  <c:v>0.289411059211237</c:v>
                </c:pt>
                <c:pt idx="7">
                  <c:v>0.27644889929177335</c:v>
                </c:pt>
                <c:pt idx="8">
                  <c:v>0.26786339306556062</c:v>
                </c:pt>
                <c:pt idx="9">
                  <c:v>0.26048236333552144</c:v>
                </c:pt>
                <c:pt idx="10">
                  <c:v>0.25200432982656107</c:v>
                </c:pt>
                <c:pt idx="11">
                  <c:v>0.24433826605592987</c:v>
                </c:pt>
                <c:pt idx="12">
                  <c:v>0.23730200883634542</c:v>
                </c:pt>
                <c:pt idx="13">
                  <c:v>0.23014012948289905</c:v>
                </c:pt>
                <c:pt idx="14">
                  <c:v>0.22321467587848709</c:v>
                </c:pt>
                <c:pt idx="15">
                  <c:v>0.21663068200450492</c:v>
                </c:pt>
                <c:pt idx="16">
                  <c:v>0.21020240388102876</c:v>
                </c:pt>
                <c:pt idx="17">
                  <c:v>0.20398125119226565</c:v>
                </c:pt>
                <c:pt idx="18">
                  <c:v>0.19801869082241552</c:v>
                </c:pt>
                <c:pt idx="19">
                  <c:v>0.19227063813299433</c:v>
                </c:pt>
                <c:pt idx="20">
                  <c:v>0.18673017748673254</c:v>
                </c:pt>
                <c:pt idx="21">
                  <c:v>0.18140114385891701</c:v>
                </c:pt>
                <c:pt idx="22">
                  <c:v>0.17626362717838731</c:v>
                </c:pt>
                <c:pt idx="23">
                  <c:v>0.1713031273115363</c:v>
                </c:pt>
                <c:pt idx="24">
                  <c:v>0.16650932241147082</c:v>
                </c:pt>
                <c:pt idx="25">
                  <c:v>0.16187142834717091</c:v>
                </c:pt>
              </c:numCache>
            </c:numRef>
          </c:val>
          <c:smooth val="0"/>
          <c:extLst>
            <c:ext xmlns:c16="http://schemas.microsoft.com/office/drawing/2014/chart" uri="{C3380CC4-5D6E-409C-BE32-E72D297353CC}">
              <c16:uniqueId val="{00000000-4C1A-1D47-9203-F804066190B7}"/>
            </c:ext>
          </c:extLst>
        </c:ser>
        <c:dLbls>
          <c:showLegendKey val="0"/>
          <c:showVal val="0"/>
          <c:showCatName val="0"/>
          <c:showSerName val="0"/>
          <c:showPercent val="0"/>
          <c:showBubbleSize val="0"/>
        </c:dLbls>
        <c:smooth val="0"/>
        <c:axId val="423409936"/>
        <c:axId val="2043196144"/>
      </c:lineChart>
      <c:catAx>
        <c:axId val="42340993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43196144"/>
        <c:crosses val="autoZero"/>
        <c:auto val="1"/>
        <c:lblAlgn val="ctr"/>
        <c:lblOffset val="100"/>
        <c:noMultiLvlLbl val="0"/>
      </c:catAx>
      <c:valAx>
        <c:axId val="204319614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234099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ENERGY!$B$37</c:f>
              <c:strCache>
                <c:ptCount val="1"/>
                <c:pt idx="0">
                  <c:v>H2 production Mt</c:v>
                </c:pt>
              </c:strCache>
            </c:strRef>
          </c:tx>
          <c:spPr>
            <a:ln w="28575" cap="rnd">
              <a:solidFill>
                <a:schemeClr val="accent1"/>
              </a:solidFill>
              <a:round/>
            </a:ln>
            <a:effectLst/>
          </c:spPr>
          <c:marker>
            <c:symbol val="none"/>
          </c:marker>
          <c:cat>
            <c:numRef>
              <c:f>ENERGY!$C$32:$AB$32</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ENERGY!$C$37:$AB$37</c:f>
              <c:numCache>
                <c:formatCode>0.00</c:formatCode>
                <c:ptCount val="26"/>
                <c:pt idx="0">
                  <c:v>0</c:v>
                </c:pt>
                <c:pt idx="1">
                  <c:v>1.6E-2</c:v>
                </c:pt>
                <c:pt idx="2">
                  <c:v>6.4000000000000001E-2</c:v>
                </c:pt>
                <c:pt idx="3">
                  <c:v>0.14400000000000002</c:v>
                </c:pt>
                <c:pt idx="4">
                  <c:v>0.25600000000000001</c:v>
                </c:pt>
                <c:pt idx="5">
                  <c:v>0.4</c:v>
                </c:pt>
                <c:pt idx="6">
                  <c:v>0.57600000000000007</c:v>
                </c:pt>
                <c:pt idx="7">
                  <c:v>0.78400000000000003</c:v>
                </c:pt>
                <c:pt idx="8">
                  <c:v>1.024</c:v>
                </c:pt>
                <c:pt idx="9">
                  <c:v>1.296</c:v>
                </c:pt>
                <c:pt idx="10">
                  <c:v>1.6</c:v>
                </c:pt>
                <c:pt idx="11">
                  <c:v>1.9359999999999999</c:v>
                </c:pt>
                <c:pt idx="12">
                  <c:v>2.3040000000000003</c:v>
                </c:pt>
                <c:pt idx="13">
                  <c:v>2.7040000000000002</c:v>
                </c:pt>
                <c:pt idx="14">
                  <c:v>3.1360000000000001</c:v>
                </c:pt>
                <c:pt idx="15">
                  <c:v>3.6</c:v>
                </c:pt>
                <c:pt idx="16">
                  <c:v>4.0960000000000001</c:v>
                </c:pt>
                <c:pt idx="17">
                  <c:v>4.6239999999999997</c:v>
                </c:pt>
                <c:pt idx="18">
                  <c:v>5.1840000000000002</c:v>
                </c:pt>
                <c:pt idx="19">
                  <c:v>5.7759999999999998</c:v>
                </c:pt>
                <c:pt idx="20">
                  <c:v>6.4</c:v>
                </c:pt>
                <c:pt idx="21">
                  <c:v>7.056</c:v>
                </c:pt>
                <c:pt idx="22">
                  <c:v>7.7439999999999998</c:v>
                </c:pt>
                <c:pt idx="23">
                  <c:v>8.4640000000000004</c:v>
                </c:pt>
                <c:pt idx="24">
                  <c:v>9.2160000000000011</c:v>
                </c:pt>
                <c:pt idx="25">
                  <c:v>10</c:v>
                </c:pt>
              </c:numCache>
            </c:numRef>
          </c:val>
          <c:smooth val="0"/>
          <c:extLst>
            <c:ext xmlns:c16="http://schemas.microsoft.com/office/drawing/2014/chart" uri="{C3380CC4-5D6E-409C-BE32-E72D297353CC}">
              <c16:uniqueId val="{00000000-5E64-3141-A417-7356D9F4177F}"/>
            </c:ext>
          </c:extLst>
        </c:ser>
        <c:dLbls>
          <c:showLegendKey val="0"/>
          <c:showVal val="0"/>
          <c:showCatName val="0"/>
          <c:showSerName val="0"/>
          <c:showPercent val="0"/>
          <c:showBubbleSize val="0"/>
        </c:dLbls>
        <c:smooth val="0"/>
        <c:axId val="679409040"/>
        <c:axId val="767733199"/>
      </c:lineChart>
      <c:catAx>
        <c:axId val="679409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67733199"/>
        <c:crosses val="autoZero"/>
        <c:auto val="1"/>
        <c:lblAlgn val="ctr"/>
        <c:lblOffset val="100"/>
        <c:noMultiLvlLbl val="0"/>
      </c:catAx>
      <c:valAx>
        <c:axId val="7677331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79409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PV capacities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ENERGY!$B$55</c:f>
              <c:strCache>
                <c:ptCount val="1"/>
                <c:pt idx="0">
                  <c:v>For consumption</c:v>
                </c:pt>
              </c:strCache>
            </c:strRef>
          </c:tx>
          <c:spPr>
            <a:solidFill>
              <a:schemeClr val="accent1"/>
            </a:solidFill>
            <a:ln>
              <a:noFill/>
            </a:ln>
            <a:effectLst/>
          </c:spPr>
          <c:invertIfNegative val="0"/>
          <c:cat>
            <c:numRef>
              <c:f>ENERGY!$C$32:$AB$32</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ENERGY!$C$55:$AB$55</c:f>
              <c:numCache>
                <c:formatCode>0.00</c:formatCode>
                <c:ptCount val="26"/>
                <c:pt idx="0">
                  <c:v>0.20394362790174095</c:v>
                </c:pt>
                <c:pt idx="1">
                  <c:v>5.0952863643134245</c:v>
                </c:pt>
                <c:pt idx="2">
                  <c:v>10.282831453030669</c:v>
                </c:pt>
                <c:pt idx="3">
                  <c:v>16.201533568742057</c:v>
                </c:pt>
                <c:pt idx="4">
                  <c:v>23.269497484697361</c:v>
                </c:pt>
                <c:pt idx="5">
                  <c:v>31.020314694426187</c:v>
                </c:pt>
                <c:pt idx="6">
                  <c:v>40.083487540920217</c:v>
                </c:pt>
                <c:pt idx="7">
                  <c:v>51.215288021321619</c:v>
                </c:pt>
                <c:pt idx="8">
                  <c:v>64.123419667103533</c:v>
                </c:pt>
                <c:pt idx="9">
                  <c:v>79.226035112729889</c:v>
                </c:pt>
                <c:pt idx="10">
                  <c:v>97.186474965610302</c:v>
                </c:pt>
                <c:pt idx="11">
                  <c:v>117.67582379083308</c:v>
                </c:pt>
                <c:pt idx="12">
                  <c:v>140.47473026314057</c:v>
                </c:pt>
                <c:pt idx="13">
                  <c:v>165.54345004418983</c:v>
                </c:pt>
                <c:pt idx="14">
                  <c:v>192.24176584876164</c:v>
                </c:pt>
                <c:pt idx="15">
                  <c:v>219.92527821158055</c:v>
                </c:pt>
                <c:pt idx="16">
                  <c:v>248.23370627258788</c:v>
                </c:pt>
                <c:pt idx="17">
                  <c:v>276.74248561867995</c:v>
                </c:pt>
                <c:pt idx="18">
                  <c:v>305.15674533034127</c:v>
                </c:pt>
                <c:pt idx="19">
                  <c:v>333.42676472914911</c:v>
                </c:pt>
                <c:pt idx="20">
                  <c:v>361.56379095253152</c:v>
                </c:pt>
                <c:pt idx="21">
                  <c:v>389.64350743620975</c:v>
                </c:pt>
                <c:pt idx="22">
                  <c:v>417.78401575032092</c:v>
                </c:pt>
                <c:pt idx="23">
                  <c:v>446.13981393906232</c:v>
                </c:pt>
                <c:pt idx="24">
                  <c:v>474.89111050173778</c:v>
                </c:pt>
                <c:pt idx="25">
                  <c:v>504.13801286586028</c:v>
                </c:pt>
              </c:numCache>
            </c:numRef>
          </c:val>
          <c:extLst>
            <c:ext xmlns:c16="http://schemas.microsoft.com/office/drawing/2014/chart" uri="{C3380CC4-5D6E-409C-BE32-E72D297353CC}">
              <c16:uniqueId val="{00000000-878B-3E40-B4D4-2EE4887D81D4}"/>
            </c:ext>
          </c:extLst>
        </c:ser>
        <c:ser>
          <c:idx val="1"/>
          <c:order val="1"/>
          <c:tx>
            <c:strRef>
              <c:f>ENERGY!$B$56</c:f>
              <c:strCache>
                <c:ptCount val="1"/>
                <c:pt idx="0">
                  <c:v>For H2 production</c:v>
                </c:pt>
              </c:strCache>
            </c:strRef>
          </c:tx>
          <c:spPr>
            <a:solidFill>
              <a:schemeClr val="accent2"/>
            </a:solidFill>
            <a:ln>
              <a:noFill/>
            </a:ln>
            <a:effectLst/>
          </c:spPr>
          <c:invertIfNegative val="0"/>
          <c:cat>
            <c:numRef>
              <c:f>ENERGY!$C$32:$AB$32</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ENERGY!$C$56:$AB$56</c:f>
              <c:numCache>
                <c:formatCode>0.00</c:formatCode>
                <c:ptCount val="26"/>
                <c:pt idx="0">
                  <c:v>0</c:v>
                </c:pt>
                <c:pt idx="1">
                  <c:v>0.54794520547945202</c:v>
                </c:pt>
                <c:pt idx="2">
                  <c:v>2.1917808219178081</c:v>
                </c:pt>
                <c:pt idx="3">
                  <c:v>4.9315068493150696</c:v>
                </c:pt>
                <c:pt idx="4">
                  <c:v>8.7671232876712324</c:v>
                </c:pt>
                <c:pt idx="5">
                  <c:v>13.698630136986301</c:v>
                </c:pt>
                <c:pt idx="6">
                  <c:v>19.726027397260278</c:v>
                </c:pt>
                <c:pt idx="7">
                  <c:v>26.849315068493151</c:v>
                </c:pt>
                <c:pt idx="8">
                  <c:v>35.06849315068493</c:v>
                </c:pt>
                <c:pt idx="9">
                  <c:v>44.38356164383562</c:v>
                </c:pt>
                <c:pt idx="10">
                  <c:v>54.794520547945204</c:v>
                </c:pt>
                <c:pt idx="11">
                  <c:v>66.30136986301369</c:v>
                </c:pt>
                <c:pt idx="12">
                  <c:v>78.904109589041113</c:v>
                </c:pt>
                <c:pt idx="13">
                  <c:v>92.602739726027394</c:v>
                </c:pt>
                <c:pt idx="14">
                  <c:v>107.39726027397261</c:v>
                </c:pt>
                <c:pt idx="15">
                  <c:v>123.2876712328767</c:v>
                </c:pt>
                <c:pt idx="16">
                  <c:v>140.27397260273972</c:v>
                </c:pt>
                <c:pt idx="17">
                  <c:v>158.35616438356163</c:v>
                </c:pt>
                <c:pt idx="18">
                  <c:v>177.53424657534248</c:v>
                </c:pt>
                <c:pt idx="19">
                  <c:v>197.80821917808217</c:v>
                </c:pt>
                <c:pt idx="20">
                  <c:v>219.17808219178082</c:v>
                </c:pt>
                <c:pt idx="21">
                  <c:v>241.64383561643834</c:v>
                </c:pt>
                <c:pt idx="22">
                  <c:v>265.20547945205476</c:v>
                </c:pt>
                <c:pt idx="23">
                  <c:v>289.86301369863014</c:v>
                </c:pt>
                <c:pt idx="24">
                  <c:v>315.61643835616445</c:v>
                </c:pt>
                <c:pt idx="25">
                  <c:v>342.46575342465752</c:v>
                </c:pt>
              </c:numCache>
            </c:numRef>
          </c:val>
          <c:extLst>
            <c:ext xmlns:c16="http://schemas.microsoft.com/office/drawing/2014/chart" uri="{C3380CC4-5D6E-409C-BE32-E72D297353CC}">
              <c16:uniqueId val="{00000001-878B-3E40-B4D4-2EE4887D81D4}"/>
            </c:ext>
          </c:extLst>
        </c:ser>
        <c:dLbls>
          <c:showLegendKey val="0"/>
          <c:showVal val="0"/>
          <c:showCatName val="0"/>
          <c:showSerName val="0"/>
          <c:showPercent val="0"/>
          <c:showBubbleSize val="0"/>
        </c:dLbls>
        <c:gapWidth val="150"/>
        <c:overlap val="100"/>
        <c:axId val="691394384"/>
        <c:axId val="1219296672"/>
      </c:barChart>
      <c:catAx>
        <c:axId val="691394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19296672"/>
        <c:crosses val="autoZero"/>
        <c:auto val="1"/>
        <c:lblAlgn val="ctr"/>
        <c:lblOffset val="100"/>
        <c:noMultiLvlLbl val="0"/>
      </c:catAx>
      <c:valAx>
        <c:axId val="1219296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MV</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91394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ENERGY!$B$65</c:f>
              <c:strCache>
                <c:ptCount val="1"/>
                <c:pt idx="0">
                  <c:v>H2 export % GDP</c:v>
                </c:pt>
              </c:strCache>
            </c:strRef>
          </c:tx>
          <c:spPr>
            <a:solidFill>
              <a:schemeClr val="accent1"/>
            </a:solidFill>
            <a:ln>
              <a:noFill/>
            </a:ln>
            <a:effectLst/>
          </c:spPr>
          <c:invertIfNegative val="0"/>
          <c:cat>
            <c:numRef>
              <c:f>ENERGY!$C$32:$AB$32</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ENERGY!$C$65:$AB$65</c:f>
              <c:numCache>
                <c:formatCode>0.00</c:formatCode>
                <c:ptCount val="26"/>
                <c:pt idx="0" formatCode="General">
                  <c:v>0</c:v>
                </c:pt>
                <c:pt idx="1">
                  <c:v>0.32559704426205888</c:v>
                </c:pt>
                <c:pt idx="2">
                  <c:v>1.1782724905778481</c:v>
                </c:pt>
                <c:pt idx="3">
                  <c:v>2.3910461419641016</c:v>
                </c:pt>
                <c:pt idx="4">
                  <c:v>3.8201534198712426</c:v>
                </c:pt>
                <c:pt idx="5">
                  <c:v>5.3319641942012472</c:v>
                </c:pt>
                <c:pt idx="6">
                  <c:v>6.8475857003852534</c:v>
                </c:pt>
                <c:pt idx="7">
                  <c:v>8.2678029545301435</c:v>
                </c:pt>
                <c:pt idx="8">
                  <c:v>9.4887488603211914</c:v>
                </c:pt>
                <c:pt idx="9">
                  <c:v>10.492983072518825</c:v>
                </c:pt>
                <c:pt idx="10">
                  <c:v>11.242175094903315</c:v>
                </c:pt>
                <c:pt idx="11">
                  <c:v>11.701019782599939</c:v>
                </c:pt>
                <c:pt idx="12">
                  <c:v>11.920459684495031</c:v>
                </c:pt>
                <c:pt idx="13">
                  <c:v>11.949673944216746</c:v>
                </c:pt>
                <c:pt idx="14">
                  <c:v>11.827379089665516</c:v>
                </c:pt>
                <c:pt idx="15">
                  <c:v>11.618957410921873</c:v>
                </c:pt>
                <c:pt idx="16">
                  <c:v>11.374951579414029</c:v>
                </c:pt>
                <c:pt idx="17">
                  <c:v>11.122503315873281</c:v>
                </c:pt>
                <c:pt idx="18">
                  <c:v>10.884859275341363</c:v>
                </c:pt>
                <c:pt idx="19">
                  <c:v>10.675536743406584</c:v>
                </c:pt>
                <c:pt idx="20">
                  <c:v>10.498460207337489</c:v>
                </c:pt>
                <c:pt idx="21">
                  <c:v>10.355981583955517</c:v>
                </c:pt>
                <c:pt idx="22">
                  <c:v>10.249099705667307</c:v>
                </c:pt>
                <c:pt idx="23">
                  <c:v>10.178448747056201</c:v>
                </c:pt>
                <c:pt idx="24">
                  <c:v>10.144337495297034</c:v>
                </c:pt>
                <c:pt idx="25">
                  <c:v>10.147032635937229</c:v>
                </c:pt>
              </c:numCache>
            </c:numRef>
          </c:val>
          <c:extLst>
            <c:ext xmlns:c16="http://schemas.microsoft.com/office/drawing/2014/chart" uri="{C3380CC4-5D6E-409C-BE32-E72D297353CC}">
              <c16:uniqueId val="{00000000-D845-0048-8F6C-FDC2C6A14F46}"/>
            </c:ext>
          </c:extLst>
        </c:ser>
        <c:dLbls>
          <c:showLegendKey val="0"/>
          <c:showVal val="0"/>
          <c:showCatName val="0"/>
          <c:showSerName val="0"/>
          <c:showPercent val="0"/>
          <c:showBubbleSize val="0"/>
        </c:dLbls>
        <c:gapWidth val="219"/>
        <c:overlap val="-27"/>
        <c:axId val="696163040"/>
        <c:axId val="695512512"/>
      </c:barChart>
      <c:catAx>
        <c:axId val="69616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95512512"/>
        <c:crosses val="autoZero"/>
        <c:auto val="1"/>
        <c:lblAlgn val="ctr"/>
        <c:lblOffset val="100"/>
        <c:noMultiLvlLbl val="0"/>
      </c:catAx>
      <c:valAx>
        <c:axId val="6955125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96163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ENERGY!$B$37</c:f>
              <c:strCache>
                <c:ptCount val="1"/>
                <c:pt idx="0">
                  <c:v>H2 production Mt</c:v>
                </c:pt>
              </c:strCache>
            </c:strRef>
          </c:tx>
          <c:spPr>
            <a:ln w="28575" cap="rnd">
              <a:solidFill>
                <a:schemeClr val="accent1"/>
              </a:solidFill>
              <a:round/>
            </a:ln>
            <a:effectLst/>
          </c:spPr>
          <c:marker>
            <c:symbol val="none"/>
          </c:marker>
          <c:cat>
            <c:numRef>
              <c:f>ENERGY!$C$32:$AB$32</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ENERGY!$C$37:$AB$37</c:f>
              <c:numCache>
                <c:formatCode>0.00</c:formatCode>
                <c:ptCount val="26"/>
                <c:pt idx="0">
                  <c:v>0</c:v>
                </c:pt>
                <c:pt idx="1">
                  <c:v>1.6E-2</c:v>
                </c:pt>
                <c:pt idx="2">
                  <c:v>6.4000000000000001E-2</c:v>
                </c:pt>
                <c:pt idx="3">
                  <c:v>0.14400000000000002</c:v>
                </c:pt>
                <c:pt idx="4">
                  <c:v>0.25600000000000001</c:v>
                </c:pt>
                <c:pt idx="5">
                  <c:v>0.4</c:v>
                </c:pt>
                <c:pt idx="6">
                  <c:v>0.57600000000000007</c:v>
                </c:pt>
                <c:pt idx="7">
                  <c:v>0.78400000000000003</c:v>
                </c:pt>
                <c:pt idx="8">
                  <c:v>1.024</c:v>
                </c:pt>
                <c:pt idx="9">
                  <c:v>1.296</c:v>
                </c:pt>
                <c:pt idx="10">
                  <c:v>1.6</c:v>
                </c:pt>
                <c:pt idx="11">
                  <c:v>1.9359999999999999</c:v>
                </c:pt>
                <c:pt idx="12">
                  <c:v>2.3040000000000003</c:v>
                </c:pt>
                <c:pt idx="13">
                  <c:v>2.7040000000000002</c:v>
                </c:pt>
                <c:pt idx="14">
                  <c:v>3.1360000000000001</c:v>
                </c:pt>
                <c:pt idx="15">
                  <c:v>3.6</c:v>
                </c:pt>
                <c:pt idx="16">
                  <c:v>4.0960000000000001</c:v>
                </c:pt>
                <c:pt idx="17">
                  <c:v>4.6239999999999997</c:v>
                </c:pt>
                <c:pt idx="18">
                  <c:v>5.1840000000000002</c:v>
                </c:pt>
                <c:pt idx="19">
                  <c:v>5.7759999999999998</c:v>
                </c:pt>
                <c:pt idx="20">
                  <c:v>6.4</c:v>
                </c:pt>
                <c:pt idx="21">
                  <c:v>7.056</c:v>
                </c:pt>
                <c:pt idx="22">
                  <c:v>7.7439999999999998</c:v>
                </c:pt>
                <c:pt idx="23">
                  <c:v>8.4640000000000004</c:v>
                </c:pt>
                <c:pt idx="24">
                  <c:v>9.2160000000000011</c:v>
                </c:pt>
                <c:pt idx="25">
                  <c:v>10</c:v>
                </c:pt>
              </c:numCache>
            </c:numRef>
          </c:val>
          <c:smooth val="0"/>
          <c:extLst>
            <c:ext xmlns:c16="http://schemas.microsoft.com/office/drawing/2014/chart" uri="{C3380CC4-5D6E-409C-BE32-E72D297353CC}">
              <c16:uniqueId val="{00000000-A700-5641-B956-8CAA65323B0E}"/>
            </c:ext>
          </c:extLst>
        </c:ser>
        <c:dLbls>
          <c:showLegendKey val="0"/>
          <c:showVal val="0"/>
          <c:showCatName val="0"/>
          <c:showSerName val="0"/>
          <c:showPercent val="0"/>
          <c:showBubbleSize val="0"/>
        </c:dLbls>
        <c:smooth val="0"/>
        <c:axId val="679409040"/>
        <c:axId val="767733199"/>
      </c:lineChart>
      <c:catAx>
        <c:axId val="679409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67733199"/>
        <c:crosses val="autoZero"/>
        <c:auto val="1"/>
        <c:lblAlgn val="ctr"/>
        <c:lblOffset val="100"/>
        <c:noMultiLvlLbl val="0"/>
      </c:catAx>
      <c:valAx>
        <c:axId val="7677331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79409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PV capacities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ENERGY!$B$55</c:f>
              <c:strCache>
                <c:ptCount val="1"/>
                <c:pt idx="0">
                  <c:v>For consumption</c:v>
                </c:pt>
              </c:strCache>
            </c:strRef>
          </c:tx>
          <c:spPr>
            <a:solidFill>
              <a:schemeClr val="accent1"/>
            </a:solidFill>
            <a:ln>
              <a:noFill/>
            </a:ln>
            <a:effectLst/>
          </c:spPr>
          <c:invertIfNegative val="0"/>
          <c:cat>
            <c:numRef>
              <c:f>ENERGY!$C$32:$AB$32</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ENERGY!$C$55:$AB$55</c:f>
              <c:numCache>
                <c:formatCode>0.00</c:formatCode>
                <c:ptCount val="26"/>
                <c:pt idx="0">
                  <c:v>0.20394362790174095</c:v>
                </c:pt>
                <c:pt idx="1">
                  <c:v>5.0952863643134245</c:v>
                </c:pt>
                <c:pt idx="2">
                  <c:v>10.282831453030669</c:v>
                </c:pt>
                <c:pt idx="3">
                  <c:v>16.201533568742057</c:v>
                </c:pt>
                <c:pt idx="4">
                  <c:v>23.269497484697361</c:v>
                </c:pt>
                <c:pt idx="5">
                  <c:v>31.020314694426187</c:v>
                </c:pt>
                <c:pt idx="6">
                  <c:v>40.083487540920217</c:v>
                </c:pt>
                <c:pt idx="7">
                  <c:v>51.215288021321619</c:v>
                </c:pt>
                <c:pt idx="8">
                  <c:v>64.123419667103533</c:v>
                </c:pt>
                <c:pt idx="9">
                  <c:v>79.226035112729889</c:v>
                </c:pt>
                <c:pt idx="10">
                  <c:v>97.186474965610302</c:v>
                </c:pt>
                <c:pt idx="11">
                  <c:v>117.67582379083308</c:v>
                </c:pt>
                <c:pt idx="12">
                  <c:v>140.47473026314057</c:v>
                </c:pt>
                <c:pt idx="13">
                  <c:v>165.54345004418983</c:v>
                </c:pt>
                <c:pt idx="14">
                  <c:v>192.24176584876164</c:v>
                </c:pt>
                <c:pt idx="15">
                  <c:v>219.92527821158055</c:v>
                </c:pt>
                <c:pt idx="16">
                  <c:v>248.23370627258788</c:v>
                </c:pt>
                <c:pt idx="17">
                  <c:v>276.74248561867995</c:v>
                </c:pt>
                <c:pt idx="18">
                  <c:v>305.15674533034127</c:v>
                </c:pt>
                <c:pt idx="19">
                  <c:v>333.42676472914911</c:v>
                </c:pt>
                <c:pt idx="20">
                  <c:v>361.56379095253152</c:v>
                </c:pt>
                <c:pt idx="21">
                  <c:v>389.64350743620975</c:v>
                </c:pt>
                <c:pt idx="22">
                  <c:v>417.78401575032092</c:v>
                </c:pt>
                <c:pt idx="23">
                  <c:v>446.13981393906232</c:v>
                </c:pt>
                <c:pt idx="24">
                  <c:v>474.89111050173778</c:v>
                </c:pt>
                <c:pt idx="25">
                  <c:v>504.13801286586028</c:v>
                </c:pt>
              </c:numCache>
            </c:numRef>
          </c:val>
          <c:extLst>
            <c:ext xmlns:c16="http://schemas.microsoft.com/office/drawing/2014/chart" uri="{C3380CC4-5D6E-409C-BE32-E72D297353CC}">
              <c16:uniqueId val="{00000000-1425-854C-900D-08D85B4BAC17}"/>
            </c:ext>
          </c:extLst>
        </c:ser>
        <c:ser>
          <c:idx val="1"/>
          <c:order val="1"/>
          <c:tx>
            <c:strRef>
              <c:f>ENERGY!$B$56</c:f>
              <c:strCache>
                <c:ptCount val="1"/>
                <c:pt idx="0">
                  <c:v>For H2 production</c:v>
                </c:pt>
              </c:strCache>
            </c:strRef>
          </c:tx>
          <c:spPr>
            <a:solidFill>
              <a:schemeClr val="accent2"/>
            </a:solidFill>
            <a:ln>
              <a:noFill/>
            </a:ln>
            <a:effectLst/>
          </c:spPr>
          <c:invertIfNegative val="0"/>
          <c:cat>
            <c:numRef>
              <c:f>ENERGY!$C$32:$AB$32</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ENERGY!$C$56:$AB$56</c:f>
              <c:numCache>
                <c:formatCode>0.00</c:formatCode>
                <c:ptCount val="26"/>
                <c:pt idx="0">
                  <c:v>0</c:v>
                </c:pt>
                <c:pt idx="1">
                  <c:v>0.54794520547945202</c:v>
                </c:pt>
                <c:pt idx="2">
                  <c:v>2.1917808219178081</c:v>
                </c:pt>
                <c:pt idx="3">
                  <c:v>4.9315068493150696</c:v>
                </c:pt>
                <c:pt idx="4">
                  <c:v>8.7671232876712324</c:v>
                </c:pt>
                <c:pt idx="5">
                  <c:v>13.698630136986301</c:v>
                </c:pt>
                <c:pt idx="6">
                  <c:v>19.726027397260278</c:v>
                </c:pt>
                <c:pt idx="7">
                  <c:v>26.849315068493151</c:v>
                </c:pt>
                <c:pt idx="8">
                  <c:v>35.06849315068493</c:v>
                </c:pt>
                <c:pt idx="9">
                  <c:v>44.38356164383562</c:v>
                </c:pt>
                <c:pt idx="10">
                  <c:v>54.794520547945204</c:v>
                </c:pt>
                <c:pt idx="11">
                  <c:v>66.30136986301369</c:v>
                </c:pt>
                <c:pt idx="12">
                  <c:v>78.904109589041113</c:v>
                </c:pt>
                <c:pt idx="13">
                  <c:v>92.602739726027394</c:v>
                </c:pt>
                <c:pt idx="14">
                  <c:v>107.39726027397261</c:v>
                </c:pt>
                <c:pt idx="15">
                  <c:v>123.2876712328767</c:v>
                </c:pt>
                <c:pt idx="16">
                  <c:v>140.27397260273972</c:v>
                </c:pt>
                <c:pt idx="17">
                  <c:v>158.35616438356163</c:v>
                </c:pt>
                <c:pt idx="18">
                  <c:v>177.53424657534248</c:v>
                </c:pt>
                <c:pt idx="19">
                  <c:v>197.80821917808217</c:v>
                </c:pt>
                <c:pt idx="20">
                  <c:v>219.17808219178082</c:v>
                </c:pt>
                <c:pt idx="21">
                  <c:v>241.64383561643834</c:v>
                </c:pt>
                <c:pt idx="22">
                  <c:v>265.20547945205476</c:v>
                </c:pt>
                <c:pt idx="23">
                  <c:v>289.86301369863014</c:v>
                </c:pt>
                <c:pt idx="24">
                  <c:v>315.61643835616445</c:v>
                </c:pt>
                <c:pt idx="25">
                  <c:v>342.46575342465752</c:v>
                </c:pt>
              </c:numCache>
            </c:numRef>
          </c:val>
          <c:extLst>
            <c:ext xmlns:c16="http://schemas.microsoft.com/office/drawing/2014/chart" uri="{C3380CC4-5D6E-409C-BE32-E72D297353CC}">
              <c16:uniqueId val="{00000001-1425-854C-900D-08D85B4BAC17}"/>
            </c:ext>
          </c:extLst>
        </c:ser>
        <c:dLbls>
          <c:showLegendKey val="0"/>
          <c:showVal val="0"/>
          <c:showCatName val="0"/>
          <c:showSerName val="0"/>
          <c:showPercent val="0"/>
          <c:showBubbleSize val="0"/>
        </c:dLbls>
        <c:gapWidth val="150"/>
        <c:overlap val="100"/>
        <c:axId val="691394384"/>
        <c:axId val="1219296672"/>
      </c:barChart>
      <c:catAx>
        <c:axId val="691394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19296672"/>
        <c:crosses val="autoZero"/>
        <c:auto val="1"/>
        <c:lblAlgn val="ctr"/>
        <c:lblOffset val="100"/>
        <c:noMultiLvlLbl val="0"/>
      </c:catAx>
      <c:valAx>
        <c:axId val="1219296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MV</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91394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ENERGY!$B$65</c:f>
              <c:strCache>
                <c:ptCount val="1"/>
                <c:pt idx="0">
                  <c:v>H2 export % GDP</c:v>
                </c:pt>
              </c:strCache>
            </c:strRef>
          </c:tx>
          <c:spPr>
            <a:solidFill>
              <a:schemeClr val="accent1"/>
            </a:solidFill>
            <a:ln>
              <a:noFill/>
            </a:ln>
            <a:effectLst/>
          </c:spPr>
          <c:invertIfNegative val="0"/>
          <c:cat>
            <c:numRef>
              <c:f>ENERGY!$C$32:$AB$32</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ENERGY!$C$65:$AB$65</c:f>
              <c:numCache>
                <c:formatCode>0.00</c:formatCode>
                <c:ptCount val="26"/>
                <c:pt idx="0" formatCode="General">
                  <c:v>0</c:v>
                </c:pt>
                <c:pt idx="1">
                  <c:v>0.32559704426205888</c:v>
                </c:pt>
                <c:pt idx="2">
                  <c:v>1.1782724905778481</c:v>
                </c:pt>
                <c:pt idx="3">
                  <c:v>2.3910461419641016</c:v>
                </c:pt>
                <c:pt idx="4">
                  <c:v>3.8201534198712426</c:v>
                </c:pt>
                <c:pt idx="5">
                  <c:v>5.3319641942012472</c:v>
                </c:pt>
                <c:pt idx="6">
                  <c:v>6.8475857003852534</c:v>
                </c:pt>
                <c:pt idx="7">
                  <c:v>8.2678029545301435</c:v>
                </c:pt>
                <c:pt idx="8">
                  <c:v>9.4887488603211914</c:v>
                </c:pt>
                <c:pt idx="9">
                  <c:v>10.492983072518825</c:v>
                </c:pt>
                <c:pt idx="10">
                  <c:v>11.242175094903315</c:v>
                </c:pt>
                <c:pt idx="11">
                  <c:v>11.701019782599939</c:v>
                </c:pt>
                <c:pt idx="12">
                  <c:v>11.920459684495031</c:v>
                </c:pt>
                <c:pt idx="13">
                  <c:v>11.949673944216746</c:v>
                </c:pt>
                <c:pt idx="14">
                  <c:v>11.827379089665516</c:v>
                </c:pt>
                <c:pt idx="15">
                  <c:v>11.618957410921873</c:v>
                </c:pt>
                <c:pt idx="16">
                  <c:v>11.374951579414029</c:v>
                </c:pt>
                <c:pt idx="17">
                  <c:v>11.122503315873281</c:v>
                </c:pt>
                <c:pt idx="18">
                  <c:v>10.884859275341363</c:v>
                </c:pt>
                <c:pt idx="19">
                  <c:v>10.675536743406584</c:v>
                </c:pt>
                <c:pt idx="20">
                  <c:v>10.498460207337489</c:v>
                </c:pt>
                <c:pt idx="21">
                  <c:v>10.355981583955517</c:v>
                </c:pt>
                <c:pt idx="22">
                  <c:v>10.249099705667307</c:v>
                </c:pt>
                <c:pt idx="23">
                  <c:v>10.178448747056201</c:v>
                </c:pt>
                <c:pt idx="24">
                  <c:v>10.144337495297034</c:v>
                </c:pt>
                <c:pt idx="25">
                  <c:v>10.147032635937229</c:v>
                </c:pt>
              </c:numCache>
            </c:numRef>
          </c:val>
          <c:extLst>
            <c:ext xmlns:c16="http://schemas.microsoft.com/office/drawing/2014/chart" uri="{C3380CC4-5D6E-409C-BE32-E72D297353CC}">
              <c16:uniqueId val="{00000000-4C03-0A4E-A0F6-A5FB51CB39F7}"/>
            </c:ext>
          </c:extLst>
        </c:ser>
        <c:dLbls>
          <c:showLegendKey val="0"/>
          <c:showVal val="0"/>
          <c:showCatName val="0"/>
          <c:showSerName val="0"/>
          <c:showPercent val="0"/>
          <c:showBubbleSize val="0"/>
        </c:dLbls>
        <c:gapWidth val="219"/>
        <c:overlap val="-27"/>
        <c:axId val="696163040"/>
        <c:axId val="695512512"/>
      </c:barChart>
      <c:catAx>
        <c:axId val="69616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95512512"/>
        <c:crosses val="autoZero"/>
        <c:auto val="1"/>
        <c:lblAlgn val="ctr"/>
        <c:lblOffset val="100"/>
        <c:noMultiLvlLbl val="0"/>
      </c:catAx>
      <c:valAx>
        <c:axId val="6955125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96163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ENERGY!$B$80</c:f>
              <c:strCache>
                <c:ptCount val="1"/>
                <c:pt idx="0">
                  <c:v>Share of H2 capital in total capital</c:v>
                </c:pt>
              </c:strCache>
            </c:strRef>
          </c:tx>
          <c:spPr>
            <a:solidFill>
              <a:schemeClr val="accent1"/>
            </a:solidFill>
            <a:ln>
              <a:noFill/>
            </a:ln>
            <a:effectLst/>
          </c:spPr>
          <c:invertIfNegative val="0"/>
          <c:cat>
            <c:numRef>
              <c:f>ENERGY!$C$32:$AB$32</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ENERGY!$C$80:$AB$80</c:f>
              <c:numCache>
                <c:formatCode>General</c:formatCode>
                <c:ptCount val="26"/>
                <c:pt idx="0">
                  <c:v>0</c:v>
                </c:pt>
                <c:pt idx="1">
                  <c:v>2.2157017570661578E-2</c:v>
                </c:pt>
                <c:pt idx="2">
                  <c:v>5.5995271040585534E-2</c:v>
                </c:pt>
                <c:pt idx="3">
                  <c:v>7.2830421396690839E-2</c:v>
                </c:pt>
                <c:pt idx="4">
                  <c:v>7.2496711299503164E-2</c:v>
                </c:pt>
                <c:pt idx="5">
                  <c:v>6.8717182172275307E-2</c:v>
                </c:pt>
                <c:pt idx="6">
                  <c:v>6.1025122954098086E-2</c:v>
                </c:pt>
                <c:pt idx="7">
                  <c:v>5.0852924810408484E-2</c:v>
                </c:pt>
                <c:pt idx="8">
                  <c:v>4.243048804910883E-2</c:v>
                </c:pt>
                <c:pt idx="9">
                  <c:v>3.5311310442302804E-2</c:v>
                </c:pt>
                <c:pt idx="10">
                  <c:v>2.9112466974333378E-2</c:v>
                </c:pt>
                <c:pt idx="11">
                  <c:v>2.4250575187120683E-2</c:v>
                </c:pt>
                <c:pt idx="12">
                  <c:v>2.0482592620291382E-2</c:v>
                </c:pt>
                <c:pt idx="13">
                  <c:v>1.7488048278743517E-2</c:v>
                </c:pt>
                <c:pt idx="14">
                  <c:v>1.5153017690262663E-2</c:v>
                </c:pt>
                <c:pt idx="15">
                  <c:v>1.3334923781288519E-2</c:v>
                </c:pt>
                <c:pt idx="16">
                  <c:v>1.1887407888780416E-2</c:v>
                </c:pt>
                <c:pt idx="17">
                  <c:v>1.0721676319183073E-2</c:v>
                </c:pt>
                <c:pt idx="18">
                  <c:v>9.769412045361598E-3</c:v>
                </c:pt>
                <c:pt idx="19">
                  <c:v>8.9722855400520187E-3</c:v>
                </c:pt>
                <c:pt idx="20">
                  <c:v>8.2906806239801834E-3</c:v>
                </c:pt>
                <c:pt idx="21">
                  <c:v>7.6965064104414739E-3</c:v>
                </c:pt>
                <c:pt idx="22">
                  <c:v>7.1687734311658702E-3</c:v>
                </c:pt>
                <c:pt idx="23">
                  <c:v>6.6923514911602184E-3</c:v>
                </c:pt>
                <c:pt idx="24">
                  <c:v>6.256333277450836E-3</c:v>
                </c:pt>
                <c:pt idx="25">
                  <c:v>5.8538779349664267E-3</c:v>
                </c:pt>
              </c:numCache>
            </c:numRef>
          </c:val>
          <c:extLst>
            <c:ext xmlns:c16="http://schemas.microsoft.com/office/drawing/2014/chart" uri="{C3380CC4-5D6E-409C-BE32-E72D297353CC}">
              <c16:uniqueId val="{00000000-75F3-504A-8761-8E333F50FDC2}"/>
            </c:ext>
          </c:extLst>
        </c:ser>
        <c:dLbls>
          <c:showLegendKey val="0"/>
          <c:showVal val="0"/>
          <c:showCatName val="0"/>
          <c:showSerName val="0"/>
          <c:showPercent val="0"/>
          <c:showBubbleSize val="0"/>
        </c:dLbls>
        <c:gapWidth val="219"/>
        <c:overlap val="-27"/>
        <c:axId val="839571135"/>
        <c:axId val="839565327"/>
      </c:barChart>
      <c:catAx>
        <c:axId val="83957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839565327"/>
        <c:crosses val="autoZero"/>
        <c:auto val="1"/>
        <c:lblAlgn val="ctr"/>
        <c:lblOffset val="100"/>
        <c:noMultiLvlLbl val="0"/>
      </c:catAx>
      <c:valAx>
        <c:axId val="8395653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8395711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OUTPUT!$B$7</c:f>
              <c:strCache>
                <c:ptCount val="1"/>
                <c:pt idx="0">
                  <c:v>GDP/capita Tn</c:v>
                </c:pt>
              </c:strCache>
            </c:strRef>
          </c:tx>
          <c:spPr>
            <a:ln w="28575" cap="rnd">
              <a:solidFill>
                <a:schemeClr val="accent1"/>
              </a:solidFill>
              <a:round/>
            </a:ln>
            <a:effectLst/>
          </c:spPr>
          <c:marker>
            <c:symbol val="none"/>
          </c:marker>
          <c:trendline>
            <c:spPr>
              <a:ln w="19050" cap="rnd">
                <a:solidFill>
                  <a:schemeClr val="accent1"/>
                </a:solidFill>
                <a:prstDash val="sysDot"/>
              </a:ln>
              <a:effectLst/>
            </c:spPr>
            <c:trendlineType val="exp"/>
            <c:dispRSqr val="1"/>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trendlineLbl>
          </c:trendline>
          <c:cat>
            <c:numRef>
              <c:f>OUTPUT!$C$5:$AB$5</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OUTPUT!$C$7:$AB$7</c:f>
              <c:numCache>
                <c:formatCode>0.00</c:formatCode>
                <c:ptCount val="26"/>
                <c:pt idx="0">
                  <c:v>1.1010312833954288</c:v>
                </c:pt>
                <c:pt idx="1">
                  <c:v>1.1316985786952447</c:v>
                </c:pt>
                <c:pt idx="2">
                  <c:v>1.1676775519356879</c:v>
                </c:pt>
                <c:pt idx="3">
                  <c:v>1.210027309401025</c:v>
                </c:pt>
                <c:pt idx="4">
                  <c:v>1.2625504524473079</c:v>
                </c:pt>
                <c:pt idx="5">
                  <c:v>1.3207173858558821</c:v>
                </c:pt>
                <c:pt idx="6">
                  <c:v>1.3904400286170382</c:v>
                </c:pt>
                <c:pt idx="7">
                  <c:v>1.4794260228864258</c:v>
                </c:pt>
                <c:pt idx="8">
                  <c:v>1.5847868319007432</c:v>
                </c:pt>
                <c:pt idx="9">
                  <c:v>1.7113841465502393</c:v>
                </c:pt>
                <c:pt idx="10">
                  <c:v>1.8673389432186962</c:v>
                </c:pt>
                <c:pt idx="11">
                  <c:v>2.050685249879475</c:v>
                </c:pt>
                <c:pt idx="12">
                  <c:v>2.2609561809854637</c:v>
                </c:pt>
                <c:pt idx="13">
                  <c:v>2.4999194221454886</c:v>
                </c:pt>
                <c:pt idx="14">
                  <c:v>2.762744152724232</c:v>
                </c:pt>
                <c:pt idx="15">
                  <c:v>3.0440811224197057</c:v>
                </c:pt>
                <c:pt idx="16">
                  <c:v>3.3412527856760734</c:v>
                </c:pt>
                <c:pt idx="17">
                  <c:v>3.6503542510551146</c:v>
                </c:pt>
                <c:pt idx="18">
                  <c:v>3.9682001215165572</c:v>
                </c:pt>
                <c:pt idx="19">
                  <c:v>4.29409613268637</c:v>
                </c:pt>
                <c:pt idx="20">
                  <c:v>4.6279559152730414</c:v>
                </c:pt>
                <c:pt idx="21">
                  <c:v>4.9702472260519572</c:v>
                </c:pt>
                <c:pt idx="22">
                  <c:v>5.3224674977625259</c:v>
                </c:pt>
                <c:pt idx="23">
                  <c:v>5.6863883426948281</c:v>
                </c:pt>
                <c:pt idx="24">
                  <c:v>6.0638920798915406</c:v>
                </c:pt>
                <c:pt idx="25">
                  <c:v>6.4569622763759744</c:v>
                </c:pt>
              </c:numCache>
            </c:numRef>
          </c:val>
          <c:smooth val="0"/>
          <c:extLst>
            <c:ext xmlns:c16="http://schemas.microsoft.com/office/drawing/2014/chart" uri="{C3380CC4-5D6E-409C-BE32-E72D297353CC}">
              <c16:uniqueId val="{00000000-DDF7-1F43-873D-5C528B1DCFF0}"/>
            </c:ext>
          </c:extLst>
        </c:ser>
        <c:dLbls>
          <c:showLegendKey val="0"/>
          <c:showVal val="0"/>
          <c:showCatName val="0"/>
          <c:showSerName val="0"/>
          <c:showPercent val="0"/>
          <c:showBubbleSize val="0"/>
        </c:dLbls>
        <c:smooth val="0"/>
        <c:axId val="655627071"/>
        <c:axId val="1186806784"/>
      </c:lineChart>
      <c:catAx>
        <c:axId val="655627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86806784"/>
        <c:crosses val="autoZero"/>
        <c:auto val="1"/>
        <c:lblAlgn val="ctr"/>
        <c:lblOffset val="100"/>
        <c:noMultiLvlLbl val="0"/>
      </c:catAx>
      <c:valAx>
        <c:axId val="118680678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556270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Share of the New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spPr>
            <a:ln w="28575" cap="rnd">
              <a:solidFill>
                <a:schemeClr val="accent1"/>
              </a:solidFill>
              <a:round/>
            </a:ln>
            <a:effectLst/>
          </c:spPr>
          <c:marker>
            <c:symbol val="none"/>
          </c:marker>
          <c:cat>
            <c:numLit>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Lit>
          </c:cat>
          <c:val>
            <c:numLit>
              <c:formatCode>General</c:formatCode>
              <c:ptCount val="26"/>
              <c:pt idx="0">
                <c:v>2.7638931846179978E-4</c:v>
              </c:pt>
              <c:pt idx="1">
                <c:v>4.555255972003227E-4</c:v>
              </c:pt>
              <c:pt idx="2">
                <c:v>7.5059112836849584E-4</c:v>
              </c:pt>
              <c:pt idx="3">
                <c:v>1.2363115783173872E-3</c:v>
              </c:pt>
              <c:pt idx="4">
                <c:v>2.0350688579480638E-3</c:v>
              </c:pt>
              <c:pt idx="5">
                <c:v>3.3464254621424277E-3</c:v>
              </c:pt>
              <c:pt idx="6">
                <c:v>5.4934713152965898E-3</c:v>
              </c:pt>
              <c:pt idx="7">
                <c:v>8.9931049810457794E-3</c:v>
              </c:pt>
              <c:pt idx="8">
                <c:v>1.465611537567816E-2</c:v>
              </c:pt>
              <c:pt idx="9">
                <c:v>2.3712936588783391E-2</c:v>
              </c:pt>
              <c:pt idx="10">
                <c:v>3.7929090010621773E-2</c:v>
              </c:pt>
              <c:pt idx="11">
                <c:v>5.9601461011058773E-2</c:v>
              </c:pt>
              <c:pt idx="12">
                <c:v>9.1212761903178174E-2</c:v>
              </c:pt>
              <c:pt idx="13">
                <c:v>0.13447071068499755</c:v>
              </c:pt>
              <c:pt idx="14">
                <c:v>0.1887703343990727</c:v>
              </c:pt>
              <c:pt idx="15">
                <c:v>0.25</c:v>
              </c:pt>
              <c:pt idx="16">
                <c:v>0.3112296656009273</c:v>
              </c:pt>
              <c:pt idx="17">
                <c:v>0.36552928931500245</c:v>
              </c:pt>
              <c:pt idx="18">
                <c:v>0.40878723809682183</c:v>
              </c:pt>
              <c:pt idx="19">
                <c:v>0.44039853898894116</c:v>
              </c:pt>
              <c:pt idx="20">
                <c:v>0.46207090998937828</c:v>
              </c:pt>
              <c:pt idx="21">
                <c:v>0.47628706341121668</c:v>
              </c:pt>
              <c:pt idx="22">
                <c:v>0.48534388462432182</c:v>
              </c:pt>
              <c:pt idx="23">
                <c:v>0.49100689501895423</c:v>
              </c:pt>
              <c:pt idx="24">
                <c:v>0.49450652868470341</c:v>
              </c:pt>
              <c:pt idx="25">
                <c:v>0.49665357453785763</c:v>
              </c:pt>
            </c:numLit>
          </c:val>
          <c:smooth val="0"/>
          <c:extLst>
            <c:ext xmlns:c16="http://schemas.microsoft.com/office/drawing/2014/chart" uri="{C3380CC4-5D6E-409C-BE32-E72D297353CC}">
              <c16:uniqueId val="{00000000-9C91-F147-AC99-8EB58F000DAD}"/>
            </c:ext>
          </c:extLst>
        </c:ser>
        <c:dLbls>
          <c:showLegendKey val="0"/>
          <c:showVal val="0"/>
          <c:showCatName val="0"/>
          <c:showSerName val="0"/>
          <c:showPercent val="0"/>
          <c:showBubbleSize val="0"/>
        </c:dLbls>
        <c:smooth val="0"/>
        <c:axId val="1873508303"/>
        <c:axId val="1873510015"/>
      </c:lineChart>
      <c:catAx>
        <c:axId val="18735083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73510015"/>
        <c:crosses val="autoZero"/>
        <c:auto val="1"/>
        <c:lblAlgn val="ctr"/>
        <c:lblOffset val="100"/>
        <c:noMultiLvlLbl val="0"/>
      </c:catAx>
      <c:valAx>
        <c:axId val="18735100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735083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TRANSITION!$A$7</c:f>
              <c:strCache>
                <c:ptCount val="1"/>
                <c:pt idx="0">
                  <c:v>Share New</c:v>
                </c:pt>
              </c:strCache>
            </c:strRef>
          </c:tx>
          <c:spPr>
            <a:ln w="28575" cap="rnd">
              <a:solidFill>
                <a:schemeClr val="accent1"/>
              </a:solidFill>
              <a:round/>
            </a:ln>
            <a:effectLst/>
          </c:spPr>
          <c:marker>
            <c:symbol val="none"/>
          </c:marker>
          <c:val>
            <c:numRef>
              <c:f>TRANSITION!$B$7:$AA$7</c:f>
              <c:numCache>
                <c:formatCode>0.00</c:formatCode>
                <c:ptCount val="26"/>
                <c:pt idx="0">
                  <c:v>9.9999999999999915E-4</c:v>
                </c:pt>
                <c:pt idx="1">
                  <c:v>5.4870978478851577E-3</c:v>
                </c:pt>
                <c:pt idx="2">
                  <c:v>1.1414439800350458E-2</c:v>
                </c:pt>
                <c:pt idx="3">
                  <c:v>1.9188181240065324E-2</c:v>
                </c:pt>
                <c:pt idx="4">
                  <c:v>2.9287851458528257E-2</c:v>
                </c:pt>
                <c:pt idx="5">
                  <c:v>4.2249913809373527E-2</c:v>
                </c:pt>
                <c:pt idx="6">
                  <c:v>5.8627035661810975E-2</c:v>
                </c:pt>
                <c:pt idx="7">
                  <c:v>7.8914265114745238E-2</c:v>
                </c:pt>
                <c:pt idx="8">
                  <c:v>0.10343911146205825</c:v>
                </c:pt>
                <c:pt idx="9">
                  <c:v>0.1322267518990651</c:v>
                </c:pt>
                <c:pt idx="10">
                  <c:v>0.16487335009866935</c:v>
                </c:pt>
                <c:pt idx="11">
                  <c:v>0.20048024480573759</c:v>
                </c:pt>
                <c:pt idx="12">
                  <c:v>0.23770150321156708</c:v>
                </c:pt>
                <c:pt idx="13">
                  <c:v>0.27492276161739659</c:v>
                </c:pt>
                <c:pt idx="14">
                  <c:v>0.31052965632446478</c:v>
                </c:pt>
                <c:pt idx="15">
                  <c:v>0.34317625452406902</c:v>
                </c:pt>
                <c:pt idx="16">
                  <c:v>0.37196389496107585</c:v>
                </c:pt>
                <c:pt idx="17">
                  <c:v>0.3964887413083889</c:v>
                </c:pt>
                <c:pt idx="18">
                  <c:v>0.41677597076132322</c:v>
                </c:pt>
                <c:pt idx="19">
                  <c:v>0.43315309261376062</c:v>
                </c:pt>
                <c:pt idx="20">
                  <c:v>0.44611515496460591</c:v>
                </c:pt>
                <c:pt idx="21">
                  <c:v>0.45621482518306883</c:v>
                </c:pt>
                <c:pt idx="22">
                  <c:v>0.46398856662278376</c:v>
                </c:pt>
                <c:pt idx="23">
                  <c:v>0.46991590857524901</c:v>
                </c:pt>
                <c:pt idx="24">
                  <c:v>0.4744030064231341</c:v>
                </c:pt>
                <c:pt idx="25">
                  <c:v>0.47778135034452834</c:v>
                </c:pt>
              </c:numCache>
            </c:numRef>
          </c:val>
          <c:smooth val="0"/>
          <c:extLst>
            <c:ext xmlns:c16="http://schemas.microsoft.com/office/drawing/2014/chart" uri="{C3380CC4-5D6E-409C-BE32-E72D297353CC}">
              <c16:uniqueId val="{00000000-95E8-7448-946D-17ACE572E5DC}"/>
            </c:ext>
          </c:extLst>
        </c:ser>
        <c:dLbls>
          <c:showLegendKey val="0"/>
          <c:showVal val="0"/>
          <c:showCatName val="0"/>
          <c:showSerName val="0"/>
          <c:showPercent val="0"/>
          <c:showBubbleSize val="0"/>
        </c:dLbls>
        <c:smooth val="0"/>
        <c:axId val="655462127"/>
        <c:axId val="1186051744"/>
      </c:lineChart>
      <c:catAx>
        <c:axId val="655462127"/>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86051744"/>
        <c:crosses val="autoZero"/>
        <c:auto val="1"/>
        <c:lblAlgn val="ctr"/>
        <c:lblOffset val="100"/>
        <c:noMultiLvlLbl val="0"/>
      </c:catAx>
      <c:valAx>
        <c:axId val="118605174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554621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'MAIN MODEL'!$B$36</c:f>
              <c:strCache>
                <c:ptCount val="1"/>
                <c:pt idx="0">
                  <c:v>CO2 emissions Mt</c:v>
                </c:pt>
              </c:strCache>
            </c:strRef>
          </c:tx>
          <c:spPr>
            <a:ln w="28575" cap="rnd">
              <a:solidFill>
                <a:schemeClr val="accent1"/>
              </a:solidFill>
              <a:round/>
            </a:ln>
            <a:effectLst/>
          </c:spPr>
          <c:marker>
            <c:symbol val="none"/>
          </c:marker>
          <c:cat>
            <c:numRef>
              <c:f>'MAIN MODEL'!$C$9:$AB$9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'MAIN MODEL'!$C$36:$AB$36</c:f>
              <c:numCache>
                <c:formatCode>0.00</c:formatCode>
                <c:ptCount val="26"/>
                <c:pt idx="0">
                  <c:v>7</c:v>
                </c:pt>
                <c:pt idx="1">
                  <c:v>6.7330637379057983</c:v>
                </c:pt>
                <c:pt idx="2">
                  <c:v>6.4827285144828162</c:v>
                </c:pt>
                <c:pt idx="3">
                  <c:v>6.2273242041467096</c:v>
                </c:pt>
                <c:pt idx="4">
                  <c:v>5.9638595945624475</c:v>
                </c:pt>
                <c:pt idx="5">
                  <c:v>5.694194350297952</c:v>
                </c:pt>
                <c:pt idx="6">
                  <c:v>5.4142949729395289</c:v>
                </c:pt>
                <c:pt idx="7">
                  <c:v>5.1228168983130553</c:v>
                </c:pt>
                <c:pt idx="8">
                  <c:v>4.8211186904403656</c:v>
                </c:pt>
                <c:pt idx="9">
                  <c:v>4.5106651026766968</c:v>
                </c:pt>
                <c:pt idx="10">
                  <c:v>4.1947403184524763</c:v>
                </c:pt>
                <c:pt idx="11">
                  <c:v>3.8795300064538396</c:v>
                </c:pt>
                <c:pt idx="12">
                  <c:v>3.572434917455805</c:v>
                </c:pt>
                <c:pt idx="13">
                  <c:v>3.2807521651382636</c:v>
                </c:pt>
                <c:pt idx="14">
                  <c:v>3.0108959474013615</c:v>
                </c:pt>
                <c:pt idx="15">
                  <c:v>2.7672916259769305</c:v>
                </c:pt>
                <c:pt idx="16">
                  <c:v>2.5516703063855286</c:v>
                </c:pt>
                <c:pt idx="17">
                  <c:v>2.3634593784932911</c:v>
                </c:pt>
                <c:pt idx="18">
                  <c:v>2.2005826413739302</c:v>
                </c:pt>
                <c:pt idx="19">
                  <c:v>2.0598797067143928</c:v>
                </c:pt>
                <c:pt idx="20">
                  <c:v>1.9378183626685197</c:v>
                </c:pt>
                <c:pt idx="21">
                  <c:v>1.8310956150216799</c:v>
                </c:pt>
                <c:pt idx="22">
                  <c:v>1.7365996691419481</c:v>
                </c:pt>
                <c:pt idx="23">
                  <c:v>1.6518458695987777</c:v>
                </c:pt>
                <c:pt idx="24">
                  <c:v>1.5749513786787261</c:v>
                </c:pt>
                <c:pt idx="25">
                  <c:v>1.5041890535329974</c:v>
                </c:pt>
              </c:numCache>
            </c:numRef>
          </c:val>
          <c:smooth val="0"/>
          <c:extLst>
            <c:ext xmlns:c16="http://schemas.microsoft.com/office/drawing/2014/chart" uri="{C3380CC4-5D6E-409C-BE32-E72D297353CC}">
              <c16:uniqueId val="{00000000-433B-4044-84F3-6F8F759B8A5A}"/>
            </c:ext>
          </c:extLst>
        </c:ser>
        <c:dLbls>
          <c:showLegendKey val="0"/>
          <c:showVal val="0"/>
          <c:showCatName val="0"/>
          <c:showSerName val="0"/>
          <c:showPercent val="0"/>
          <c:showBubbleSize val="0"/>
        </c:dLbls>
        <c:smooth val="0"/>
        <c:axId val="717437360"/>
        <c:axId val="718245456"/>
      </c:lineChart>
      <c:catAx>
        <c:axId val="71743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18245456"/>
        <c:crosses val="autoZero"/>
        <c:auto val="1"/>
        <c:lblAlgn val="ctr"/>
        <c:lblOffset val="100"/>
        <c:noMultiLvlLbl val="0"/>
      </c:catAx>
      <c:valAx>
        <c:axId val="718245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174373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Share of the New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Sheet1!$A$5</c:f>
              <c:strCache>
                <c:ptCount val="1"/>
                <c:pt idx="0">
                  <c:v>Fast Transition</c:v>
                </c:pt>
              </c:strCache>
            </c:strRef>
          </c:tx>
          <c:spPr>
            <a:ln w="28575" cap="rnd">
              <a:solidFill>
                <a:schemeClr val="accent1"/>
              </a:solidFill>
              <a:round/>
            </a:ln>
            <a:effectLst/>
          </c:spPr>
          <c:marker>
            <c:symbol val="none"/>
          </c:marker>
          <c:cat>
            <c:numRef>
              <c:f>Sheet1!$B$4:$AA$4</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Sheet1!$B$5:$AA$5</c:f>
              <c:numCache>
                <c:formatCode>0.00</c:formatCode>
                <c:ptCount val="26"/>
                <c:pt idx="0">
                  <c:v>9.9999999999999915E-4</c:v>
                </c:pt>
                <c:pt idx="1">
                  <c:v>5.4870978478851577E-3</c:v>
                </c:pt>
                <c:pt idx="2">
                  <c:v>1.1414439800350458E-2</c:v>
                </c:pt>
                <c:pt idx="3">
                  <c:v>1.9188181240065324E-2</c:v>
                </c:pt>
                <c:pt idx="4">
                  <c:v>2.9287851458528257E-2</c:v>
                </c:pt>
                <c:pt idx="5">
                  <c:v>4.2249913809373527E-2</c:v>
                </c:pt>
                <c:pt idx="6">
                  <c:v>5.8627035661810975E-2</c:v>
                </c:pt>
                <c:pt idx="7">
                  <c:v>7.8914265114745238E-2</c:v>
                </c:pt>
                <c:pt idx="8">
                  <c:v>0.10343911146205825</c:v>
                </c:pt>
                <c:pt idx="9">
                  <c:v>0.1322267518990651</c:v>
                </c:pt>
                <c:pt idx="10">
                  <c:v>0.16487335009866935</c:v>
                </c:pt>
                <c:pt idx="11">
                  <c:v>0.20048024480573759</c:v>
                </c:pt>
                <c:pt idx="12">
                  <c:v>0.23770150321156708</c:v>
                </c:pt>
                <c:pt idx="13">
                  <c:v>0.27492276161739659</c:v>
                </c:pt>
                <c:pt idx="14">
                  <c:v>0.31052965632446478</c:v>
                </c:pt>
                <c:pt idx="15">
                  <c:v>0.34317625452406902</c:v>
                </c:pt>
                <c:pt idx="16">
                  <c:v>0.37196389496107585</c:v>
                </c:pt>
                <c:pt idx="17">
                  <c:v>0.3964887413083889</c:v>
                </c:pt>
                <c:pt idx="18">
                  <c:v>0.41677597076132322</c:v>
                </c:pt>
                <c:pt idx="19">
                  <c:v>0.43315309261376062</c:v>
                </c:pt>
                <c:pt idx="20">
                  <c:v>0.44611515496460591</c:v>
                </c:pt>
                <c:pt idx="21">
                  <c:v>0.45621482518306883</c:v>
                </c:pt>
                <c:pt idx="22">
                  <c:v>0.46398856662278376</c:v>
                </c:pt>
                <c:pt idx="23">
                  <c:v>0.46991590857524901</c:v>
                </c:pt>
                <c:pt idx="24">
                  <c:v>0.4744030064231341</c:v>
                </c:pt>
                <c:pt idx="25">
                  <c:v>0.47778135034452834</c:v>
                </c:pt>
              </c:numCache>
            </c:numRef>
          </c:val>
          <c:smooth val="0"/>
          <c:extLst>
            <c:ext xmlns:c16="http://schemas.microsoft.com/office/drawing/2014/chart" uri="{C3380CC4-5D6E-409C-BE32-E72D297353CC}">
              <c16:uniqueId val="{00000000-5411-BA4B-8F73-3F421A0D3F27}"/>
            </c:ext>
          </c:extLst>
        </c:ser>
        <c:ser>
          <c:idx val="1"/>
          <c:order val="1"/>
          <c:tx>
            <c:strRef>
              <c:f>Sheet1!$A$6</c:f>
              <c:strCache>
                <c:ptCount val="1"/>
                <c:pt idx="0">
                  <c:v>Slow Transition</c:v>
                </c:pt>
              </c:strCache>
            </c:strRef>
          </c:tx>
          <c:spPr>
            <a:ln w="28575" cap="rnd">
              <a:solidFill>
                <a:schemeClr val="accent2"/>
              </a:solidFill>
              <a:round/>
            </a:ln>
            <a:effectLst/>
          </c:spPr>
          <c:marker>
            <c:symbol val="none"/>
          </c:marker>
          <c:cat>
            <c:numRef>
              <c:f>Sheet1!$B$4:$AA$4</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Sheet1!$B$6:$AA$6</c:f>
              <c:numCache>
                <c:formatCode>0.00</c:formatCode>
                <c:ptCount val="26"/>
                <c:pt idx="0">
                  <c:v>1E-3</c:v>
                </c:pt>
                <c:pt idx="1">
                  <c:v>3.0265096163217811E-3</c:v>
                </c:pt>
                <c:pt idx="2">
                  <c:v>5.7291847534371243E-3</c:v>
                </c:pt>
                <c:pt idx="3">
                  <c:v>9.3188630317452489E-3</c:v>
                </c:pt>
                <c:pt idx="4">
                  <c:v>1.4060736593717489E-2</c:v>
                </c:pt>
                <c:pt idx="5">
                  <c:v>2.0279729745489382E-2</c:v>
                </c:pt>
                <c:pt idx="6">
                  <c:v>2.835946592025973E-2</c:v>
                </c:pt>
                <c:pt idx="7">
                  <c:v>3.8729115800935944E-2</c:v>
                </c:pt>
                <c:pt idx="8">
                  <c:v>5.1830813282885906E-2</c:v>
                </c:pt>
                <c:pt idx="9">
                  <c:v>6.8060596845233329E-2</c:v>
                </c:pt>
                <c:pt idx="10">
                  <c:v>8.7680473923083743E-2</c:v>
                </c:pt>
                <c:pt idx="11">
                  <c:v>0.11071058627268922</c:v>
                </c:pt>
                <c:pt idx="12">
                  <c:v>0.13682786483237261</c:v>
                </c:pt>
                <c:pt idx="13">
                  <c:v>0.16531338059802719</c:v>
                </c:pt>
                <c:pt idx="14">
                  <c:v>0.19509038732269079</c:v>
                </c:pt>
                <c:pt idx="15">
                  <c:v>0.2248673940473544</c:v>
                </c:pt>
                <c:pt idx="16">
                  <c:v>0.25335290981300895</c:v>
                </c:pt>
                <c:pt idx="17">
                  <c:v>0.27947018837269239</c:v>
                </c:pt>
                <c:pt idx="18">
                  <c:v>0.30250030072229783</c:v>
                </c:pt>
                <c:pt idx="19">
                  <c:v>0.32212017780014823</c:v>
                </c:pt>
                <c:pt idx="20">
                  <c:v>0.33834996136249573</c:v>
                </c:pt>
                <c:pt idx="21">
                  <c:v>0.35145165884444562</c:v>
                </c:pt>
                <c:pt idx="22">
                  <c:v>0.36182130872512186</c:v>
                </c:pt>
                <c:pt idx="23">
                  <c:v>0.36990104489989223</c:v>
                </c:pt>
                <c:pt idx="24">
                  <c:v>0.37612003805166411</c:v>
                </c:pt>
                <c:pt idx="25">
                  <c:v>0.38086191161363636</c:v>
                </c:pt>
              </c:numCache>
            </c:numRef>
          </c:val>
          <c:smooth val="0"/>
          <c:extLst>
            <c:ext xmlns:c16="http://schemas.microsoft.com/office/drawing/2014/chart" uri="{C3380CC4-5D6E-409C-BE32-E72D297353CC}">
              <c16:uniqueId val="{00000001-5411-BA4B-8F73-3F421A0D3F27}"/>
            </c:ext>
          </c:extLst>
        </c:ser>
        <c:dLbls>
          <c:showLegendKey val="0"/>
          <c:showVal val="0"/>
          <c:showCatName val="0"/>
          <c:showSerName val="0"/>
          <c:showPercent val="0"/>
          <c:showBubbleSize val="0"/>
        </c:dLbls>
        <c:smooth val="0"/>
        <c:axId val="993670768"/>
        <c:axId val="1136552480"/>
      </c:lineChart>
      <c:catAx>
        <c:axId val="993670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36552480"/>
        <c:crosses val="autoZero"/>
        <c:auto val="1"/>
        <c:lblAlgn val="ctr"/>
        <c:lblOffset val="100"/>
        <c:noMultiLvlLbl val="0"/>
      </c:catAx>
      <c:valAx>
        <c:axId val="11365524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93670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GDP per capita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Sheet1!$B$27</c:f>
              <c:strCache>
                <c:ptCount val="1"/>
                <c:pt idx="0">
                  <c:v>Slow Transition</c:v>
                </c:pt>
              </c:strCache>
            </c:strRef>
          </c:tx>
          <c:spPr>
            <a:ln w="28575" cap="rnd">
              <a:solidFill>
                <a:schemeClr val="accent2"/>
              </a:solidFill>
              <a:round/>
            </a:ln>
            <a:effectLst/>
          </c:spPr>
          <c:marker>
            <c:symbol val="none"/>
          </c:marker>
          <c:cat>
            <c:numRef>
              <c:f>Sheet1!$B$4:$AA$4</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Sheet1!$C$27:$AB$27</c:f>
              <c:numCache>
                <c:formatCode>0</c:formatCode>
                <c:ptCount val="26"/>
                <c:pt idx="0">
                  <c:v>1167.4006939932058</c:v>
                </c:pt>
                <c:pt idx="1">
                  <c:v>1199.675603475614</c:v>
                </c:pt>
                <c:pt idx="2">
                  <c:v>1237.7801171915314</c:v>
                </c:pt>
                <c:pt idx="3">
                  <c:v>1283.5283964886212</c:v>
                </c:pt>
                <c:pt idx="4">
                  <c:v>1334.268579874313</c:v>
                </c:pt>
                <c:pt idx="5">
                  <c:v>1391.1251941035448</c:v>
                </c:pt>
                <c:pt idx="6">
                  <c:v>1462.496273401724</c:v>
                </c:pt>
                <c:pt idx="7">
                  <c:v>1548.6565000501887</c:v>
                </c:pt>
                <c:pt idx="8">
                  <c:v>1651.1009506030427</c:v>
                </c:pt>
                <c:pt idx="9">
                  <c:v>1780.5394825207204</c:v>
                </c:pt>
                <c:pt idx="10">
                  <c:v>1941.865885349539</c:v>
                </c:pt>
                <c:pt idx="11">
                  <c:v>2137.2516823055307</c:v>
                </c:pt>
                <c:pt idx="12">
                  <c:v>2374.5951758494843</c:v>
                </c:pt>
                <c:pt idx="13">
                  <c:v>2656.9852350359661</c:v>
                </c:pt>
                <c:pt idx="14">
                  <c:v>2981.3830601091577</c:v>
                </c:pt>
                <c:pt idx="15">
                  <c:v>3345.6091332785741</c:v>
                </c:pt>
                <c:pt idx="16">
                  <c:v>3744.582980410843</c:v>
                </c:pt>
                <c:pt idx="17">
                  <c:v>4169.699467426728</c:v>
                </c:pt>
                <c:pt idx="18">
                  <c:v>4614.1525228932815</c:v>
                </c:pt>
                <c:pt idx="19">
                  <c:v>5072.7957993238997</c:v>
                </c:pt>
                <c:pt idx="20">
                  <c:v>5541.3148473215415</c:v>
                </c:pt>
                <c:pt idx="21">
                  <c:v>6017.9345121600218</c:v>
                </c:pt>
                <c:pt idx="22">
                  <c:v>6502.9794592449571</c:v>
                </c:pt>
                <c:pt idx="23">
                  <c:v>6997.6769734556337</c:v>
                </c:pt>
                <c:pt idx="24">
                  <c:v>7504.297163778092</c:v>
                </c:pt>
                <c:pt idx="25">
                  <c:v>8025.6663978420975</c:v>
                </c:pt>
              </c:numCache>
            </c:numRef>
          </c:val>
          <c:smooth val="0"/>
          <c:extLst>
            <c:ext xmlns:c16="http://schemas.microsoft.com/office/drawing/2014/chart" uri="{C3380CC4-5D6E-409C-BE32-E72D297353CC}">
              <c16:uniqueId val="{00000000-DE08-FF47-85F9-45CD2F394210}"/>
            </c:ext>
          </c:extLst>
        </c:ser>
        <c:ser>
          <c:idx val="1"/>
          <c:order val="1"/>
          <c:tx>
            <c:strRef>
              <c:f>Sheet1!$B$28</c:f>
              <c:strCache>
                <c:ptCount val="1"/>
                <c:pt idx="0">
                  <c:v>Fast Transition</c:v>
                </c:pt>
              </c:strCache>
            </c:strRef>
          </c:tx>
          <c:spPr>
            <a:ln w="28575" cap="rnd">
              <a:solidFill>
                <a:schemeClr val="accent1"/>
              </a:solidFill>
              <a:round/>
            </a:ln>
            <a:effectLst/>
          </c:spPr>
          <c:marker>
            <c:symbol val="none"/>
          </c:marker>
          <c:cat>
            <c:numRef>
              <c:f>Sheet1!$B$4:$AA$4</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Sheet1!$C$28:$AB$28</c:f>
              <c:numCache>
                <c:formatCode>0</c:formatCode>
                <c:ptCount val="26"/>
                <c:pt idx="0">
                  <c:v>1167.4006939932058</c:v>
                </c:pt>
                <c:pt idx="1">
                  <c:v>1204.0453649666333</c:v>
                </c:pt>
                <c:pt idx="2">
                  <c:v>1247.9705930281245</c:v>
                </c:pt>
                <c:pt idx="3">
                  <c:v>1302.6996355814695</c:v>
                </c:pt>
                <c:pt idx="4">
                  <c:v>1374.6646736351024</c:v>
                </c:pt>
                <c:pt idx="5">
                  <c:v>1456.8616512600188</c:v>
                </c:pt>
                <c:pt idx="6">
                  <c:v>1559.2184011807219</c:v>
                </c:pt>
                <c:pt idx="7">
                  <c:v>1694.3267723420133</c:v>
                </c:pt>
                <c:pt idx="8">
                  <c:v>1858.0493716574133</c:v>
                </c:pt>
                <c:pt idx="9">
                  <c:v>2058.2583936090914</c:v>
                </c:pt>
                <c:pt idx="10">
                  <c:v>2307.6136320582796</c:v>
                </c:pt>
                <c:pt idx="11">
                  <c:v>2602.6445589864729</c:v>
                </c:pt>
                <c:pt idx="12">
                  <c:v>2941.8375983238493</c:v>
                </c:pt>
                <c:pt idx="13">
                  <c:v>3326.8625692399173</c:v>
                </c:pt>
                <c:pt idx="14">
                  <c:v>3748.9682131178638</c:v>
                </c:pt>
                <c:pt idx="15">
                  <c:v>4198.6698195559266</c:v>
                </c:pt>
                <c:pt idx="16">
                  <c:v>4670.8944699609565</c:v>
                </c:pt>
                <c:pt idx="17">
                  <c:v>5158.986013620729</c:v>
                </c:pt>
                <c:pt idx="18">
                  <c:v>5657.7306447623905</c:v>
                </c:pt>
                <c:pt idx="19">
                  <c:v>6166.0576169961942</c:v>
                </c:pt>
                <c:pt idx="20">
                  <c:v>6684.0205527411626</c:v>
                </c:pt>
                <c:pt idx="21">
                  <c:v>7212.6264006716956</c:v>
                </c:pt>
                <c:pt idx="22">
                  <c:v>7754.5187880360345</c:v>
                </c:pt>
                <c:pt idx="23">
                  <c:v>8312.7634878760309</c:v>
                </c:pt>
                <c:pt idx="24">
                  <c:v>8890.5639997339877</c:v>
                </c:pt>
                <c:pt idx="25">
                  <c:v>9491.2469894946626</c:v>
                </c:pt>
              </c:numCache>
            </c:numRef>
          </c:val>
          <c:smooth val="0"/>
          <c:extLst>
            <c:ext xmlns:c16="http://schemas.microsoft.com/office/drawing/2014/chart" uri="{C3380CC4-5D6E-409C-BE32-E72D297353CC}">
              <c16:uniqueId val="{00000001-DE08-FF47-85F9-45CD2F394210}"/>
            </c:ext>
          </c:extLst>
        </c:ser>
        <c:dLbls>
          <c:showLegendKey val="0"/>
          <c:showVal val="0"/>
          <c:showCatName val="0"/>
          <c:showSerName val="0"/>
          <c:showPercent val="0"/>
          <c:showBubbleSize val="0"/>
        </c:dLbls>
        <c:smooth val="0"/>
        <c:axId val="1186977104"/>
        <c:axId val="390311599"/>
      </c:lineChart>
      <c:catAx>
        <c:axId val="1186977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90311599"/>
        <c:crosses val="autoZero"/>
        <c:auto val="1"/>
        <c:lblAlgn val="ctr"/>
        <c:lblOffset val="100"/>
        <c:noMultiLvlLbl val="0"/>
      </c:catAx>
      <c:valAx>
        <c:axId val="3903115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$ 2015</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86977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CO</a:t>
            </a:r>
            <a:r>
              <a:rPr lang="de-DE" baseline="-25000"/>
              <a:t>2</a:t>
            </a:r>
            <a:r>
              <a:rPr lang="de-DE"/>
              <a:t> Emissions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Sheet1!$B$35</c:f>
              <c:strCache>
                <c:ptCount val="1"/>
                <c:pt idx="0">
                  <c:v>Fast Transition</c:v>
                </c:pt>
              </c:strCache>
            </c:strRef>
          </c:tx>
          <c:spPr>
            <a:ln w="28575" cap="rnd">
              <a:solidFill>
                <a:schemeClr val="accent1"/>
              </a:solidFill>
              <a:round/>
            </a:ln>
            <a:effectLst/>
          </c:spPr>
          <c:marker>
            <c:symbol val="none"/>
          </c:marker>
          <c:cat>
            <c:numRef>
              <c:f>Sheet1!$B$4:$AA$4</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Sheet1!$C$35:$AB$35</c:f>
              <c:numCache>
                <c:formatCode>0.00</c:formatCode>
                <c:ptCount val="26"/>
                <c:pt idx="0">
                  <c:v>7</c:v>
                </c:pt>
                <c:pt idx="1">
                  <c:v>6.7330637379058009</c:v>
                </c:pt>
                <c:pt idx="2">
                  <c:v>6.4827285144828171</c:v>
                </c:pt>
                <c:pt idx="3">
                  <c:v>6.2273242041467105</c:v>
                </c:pt>
                <c:pt idx="4">
                  <c:v>5.9638595945624484</c:v>
                </c:pt>
                <c:pt idx="5">
                  <c:v>5.6941943502979537</c:v>
                </c:pt>
                <c:pt idx="6">
                  <c:v>5.4142949729395298</c:v>
                </c:pt>
                <c:pt idx="7">
                  <c:v>5.122816898313058</c:v>
                </c:pt>
                <c:pt idx="8">
                  <c:v>4.8211186904403673</c:v>
                </c:pt>
                <c:pt idx="9">
                  <c:v>4.5106651026766968</c:v>
                </c:pt>
                <c:pt idx="10">
                  <c:v>4.1947403184524772</c:v>
                </c:pt>
                <c:pt idx="11">
                  <c:v>3.8795300064538392</c:v>
                </c:pt>
                <c:pt idx="12">
                  <c:v>3.5724349174558059</c:v>
                </c:pt>
                <c:pt idx="13">
                  <c:v>3.2807521651382641</c:v>
                </c:pt>
                <c:pt idx="14">
                  <c:v>3.0108959474013619</c:v>
                </c:pt>
                <c:pt idx="15">
                  <c:v>2.7672916259769305</c:v>
                </c:pt>
                <c:pt idx="16">
                  <c:v>2.5516703063855291</c:v>
                </c:pt>
                <c:pt idx="17">
                  <c:v>2.3634593784932907</c:v>
                </c:pt>
                <c:pt idx="18">
                  <c:v>2.2005826413739298</c:v>
                </c:pt>
                <c:pt idx="19">
                  <c:v>2.0598797067143928</c:v>
                </c:pt>
                <c:pt idx="20">
                  <c:v>1.9378183626685199</c:v>
                </c:pt>
                <c:pt idx="21">
                  <c:v>1.8310956150216799</c:v>
                </c:pt>
                <c:pt idx="22">
                  <c:v>1.7365996691419483</c:v>
                </c:pt>
                <c:pt idx="23">
                  <c:v>1.6518458695987777</c:v>
                </c:pt>
                <c:pt idx="24">
                  <c:v>1.5749513786787261</c:v>
                </c:pt>
                <c:pt idx="25">
                  <c:v>1.5041890535329974</c:v>
                </c:pt>
              </c:numCache>
            </c:numRef>
          </c:val>
          <c:smooth val="0"/>
          <c:extLst>
            <c:ext xmlns:c16="http://schemas.microsoft.com/office/drawing/2014/chart" uri="{C3380CC4-5D6E-409C-BE32-E72D297353CC}">
              <c16:uniqueId val="{00000000-3729-E348-99EF-083C0B067D5F}"/>
            </c:ext>
          </c:extLst>
        </c:ser>
        <c:ser>
          <c:idx val="1"/>
          <c:order val="1"/>
          <c:tx>
            <c:strRef>
              <c:f>Sheet1!$B$36</c:f>
              <c:strCache>
                <c:ptCount val="1"/>
                <c:pt idx="0">
                  <c:v>Slow Transition</c:v>
                </c:pt>
              </c:strCache>
            </c:strRef>
          </c:tx>
          <c:spPr>
            <a:ln w="28575" cap="rnd">
              <a:solidFill>
                <a:schemeClr val="accent2"/>
              </a:solidFill>
              <a:round/>
            </a:ln>
            <a:effectLst/>
          </c:spPr>
          <c:marker>
            <c:symbol val="none"/>
          </c:marker>
          <c:cat>
            <c:numRef>
              <c:f>Sheet1!$B$4:$AA$4</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Sheet1!$C$36:$AB$36</c:f>
              <c:numCache>
                <c:formatCode>0.00</c:formatCode>
                <c:ptCount val="26"/>
                <c:pt idx="0">
                  <c:v>7</c:v>
                </c:pt>
                <c:pt idx="1">
                  <c:v>7.0957881131470639</c:v>
                </c:pt>
                <c:pt idx="2">
                  <c:v>7.2057254674778628</c:v>
                </c:pt>
                <c:pt idx="3">
                  <c:v>7.3069063946133674</c:v>
                </c:pt>
                <c:pt idx="4">
                  <c:v>7.3971860099306657</c:v>
                </c:pt>
                <c:pt idx="5">
                  <c:v>7.4775657971541838</c:v>
                </c:pt>
                <c:pt idx="6">
                  <c:v>7.5412277089464288</c:v>
                </c:pt>
                <c:pt idx="7">
                  <c:v>7.5838101682503183</c:v>
                </c:pt>
                <c:pt idx="8">
                  <c:v>7.6025593514084804</c:v>
                </c:pt>
                <c:pt idx="9">
                  <c:v>7.5926382548527176</c:v>
                </c:pt>
                <c:pt idx="10">
                  <c:v>7.5497540318228262</c:v>
                </c:pt>
                <c:pt idx="11">
                  <c:v>7.4729440536325358</c:v>
                </c:pt>
                <c:pt idx="12">
                  <c:v>7.3639375548907964</c:v>
                </c:pt>
                <c:pt idx="13">
                  <c:v>7.2273396358672874</c:v>
                </c:pt>
                <c:pt idx="14">
                  <c:v>7.0714850751290346</c:v>
                </c:pt>
                <c:pt idx="15">
                  <c:v>6.907343419078007</c:v>
                </c:pt>
                <c:pt idx="16">
                  <c:v>6.7461405593438668</c:v>
                </c:pt>
                <c:pt idx="17">
                  <c:v>6.5978584741896871</c:v>
                </c:pt>
                <c:pt idx="18">
                  <c:v>6.4703549458430611</c:v>
                </c:pt>
                <c:pt idx="19">
                  <c:v>6.3679281647501327</c:v>
                </c:pt>
                <c:pt idx="20">
                  <c:v>6.2916593738633919</c:v>
                </c:pt>
                <c:pt idx="21">
                  <c:v>6.2406020923581638</c:v>
                </c:pt>
                <c:pt idx="22">
                  <c:v>6.2116904155438837</c:v>
                </c:pt>
                <c:pt idx="23">
                  <c:v>6.2016032053910051</c:v>
                </c:pt>
                <c:pt idx="24">
                  <c:v>6.2073383870205543</c:v>
                </c:pt>
                <c:pt idx="25">
                  <c:v>6.2250341337108983</c:v>
                </c:pt>
              </c:numCache>
            </c:numRef>
          </c:val>
          <c:smooth val="0"/>
          <c:extLst>
            <c:ext xmlns:c16="http://schemas.microsoft.com/office/drawing/2014/chart" uri="{C3380CC4-5D6E-409C-BE32-E72D297353CC}">
              <c16:uniqueId val="{00000001-3729-E348-99EF-083C0B067D5F}"/>
            </c:ext>
          </c:extLst>
        </c:ser>
        <c:dLbls>
          <c:showLegendKey val="0"/>
          <c:showVal val="0"/>
          <c:showCatName val="0"/>
          <c:showSerName val="0"/>
          <c:showPercent val="0"/>
          <c:showBubbleSize val="0"/>
        </c:dLbls>
        <c:smooth val="0"/>
        <c:axId val="658082047"/>
        <c:axId val="617249936"/>
      </c:lineChart>
      <c:catAx>
        <c:axId val="6580820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17249936"/>
        <c:crosses val="autoZero"/>
        <c:auto val="1"/>
        <c:lblAlgn val="ctr"/>
        <c:lblOffset val="100"/>
        <c:noMultiLvlLbl val="0"/>
      </c:catAx>
      <c:valAx>
        <c:axId val="617249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Mt CO</a:t>
                </a:r>
                <a:r>
                  <a:rPr lang="en-US" baseline="-25000"/>
                  <a:t>2</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580820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Exports</a:t>
            </a:r>
            <a:r>
              <a:rPr lang="de-DE" baseline="0"/>
              <a:t> of New Sector</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Sheet1!$B$42</c:f>
              <c:strCache>
                <c:ptCount val="1"/>
                <c:pt idx="0">
                  <c:v>Fast Transition</c:v>
                </c:pt>
              </c:strCache>
            </c:strRef>
          </c:tx>
          <c:spPr>
            <a:ln w="28575" cap="rnd">
              <a:solidFill>
                <a:schemeClr val="accent1"/>
              </a:solidFill>
              <a:round/>
            </a:ln>
            <a:effectLst/>
          </c:spPr>
          <c:marker>
            <c:symbol val="none"/>
          </c:marker>
          <c:cat>
            <c:numRef>
              <c:f>Sheet1!$B$4:$AA$4</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Sheet1!$C$42:$AB$42</c:f>
              <c:numCache>
                <c:formatCode>General</c:formatCode>
                <c:ptCount val="26"/>
                <c:pt idx="0">
                  <c:v>0</c:v>
                </c:pt>
                <c:pt idx="1">
                  <c:v>0.39341088347707964</c:v>
                </c:pt>
                <c:pt idx="2">
                  <c:v>1.4183452315344438</c:v>
                </c:pt>
                <c:pt idx="3">
                  <c:v>2.864284581166249</c:v>
                </c:pt>
                <c:pt idx="4">
                  <c:v>4.5415673186108414</c:v>
                </c:pt>
                <c:pt idx="5">
                  <c:v>6.2659365729375693</c:v>
                </c:pt>
                <c:pt idx="6">
                  <c:v>7.9407895172174472</c:v>
                </c:pt>
                <c:pt idx="7">
                  <c:v>9.4293503070561631</c:v>
                </c:pt>
                <c:pt idx="8">
                  <c:v>10.594932521779665</c:v>
                </c:pt>
                <c:pt idx="9">
                  <c:v>11.444630049106852</c:v>
                </c:pt>
                <c:pt idx="10">
                  <c:v>11.95500788790233</c:v>
                </c:pt>
                <c:pt idx="11">
                  <c:v>12.113973462771547</c:v>
                </c:pt>
                <c:pt idx="12">
                  <c:v>12.023895415871937</c:v>
                </c:pt>
                <c:pt idx="13">
                  <c:v>11.768150046850041</c:v>
                </c:pt>
                <c:pt idx="14">
                  <c:v>11.403844884465542</c:v>
                </c:pt>
                <c:pt idx="15">
                  <c:v>11.007426612368523</c:v>
                </c:pt>
                <c:pt idx="16">
                  <c:v>10.628599930035362</c:v>
                </c:pt>
                <c:pt idx="17">
                  <c:v>10.287629903248751</c:v>
                </c:pt>
                <c:pt idx="18">
                  <c:v>10.000188448584254</c:v>
                </c:pt>
                <c:pt idx="19">
                  <c:v>9.7728521500771972</c:v>
                </c:pt>
                <c:pt idx="20">
                  <c:v>9.604114296412126</c:v>
                </c:pt>
                <c:pt idx="21">
                  <c:v>9.4926233688741366</c:v>
                </c:pt>
                <c:pt idx="22">
                  <c:v>9.4371889542058867</c:v>
                </c:pt>
                <c:pt idx="23">
                  <c:v>9.4373698121073044</c:v>
                </c:pt>
                <c:pt idx="24">
                  <c:v>9.4933875628723374</c:v>
                </c:pt>
                <c:pt idx="25">
                  <c:v>9.60618470929872</c:v>
                </c:pt>
              </c:numCache>
            </c:numRef>
          </c:val>
          <c:smooth val="0"/>
          <c:extLst>
            <c:ext xmlns:c16="http://schemas.microsoft.com/office/drawing/2014/chart" uri="{C3380CC4-5D6E-409C-BE32-E72D297353CC}">
              <c16:uniqueId val="{00000000-E6A3-AF49-AA6D-EC36D9891946}"/>
            </c:ext>
          </c:extLst>
        </c:ser>
        <c:ser>
          <c:idx val="1"/>
          <c:order val="1"/>
          <c:tx>
            <c:strRef>
              <c:f>Sheet1!$B$43</c:f>
              <c:strCache>
                <c:ptCount val="1"/>
                <c:pt idx="0">
                  <c:v>Slow Transition</c:v>
                </c:pt>
              </c:strCache>
            </c:strRef>
          </c:tx>
          <c:spPr>
            <a:ln w="28575" cap="rnd">
              <a:solidFill>
                <a:schemeClr val="accent2"/>
              </a:solidFill>
              <a:round/>
            </a:ln>
            <a:effectLst/>
          </c:spPr>
          <c:marker>
            <c:symbol val="none"/>
          </c:marker>
          <c:cat>
            <c:numRef>
              <c:f>Sheet1!$B$4:$AA$4</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Sheet1!$C$43:$AB$43</c:f>
              <c:numCache>
                <c:formatCode>General</c:formatCode>
                <c:ptCount val="26"/>
                <c:pt idx="0">
                  <c:v>0</c:v>
                </c:pt>
                <c:pt idx="1">
                  <c:v>0.39341088347707964</c:v>
                </c:pt>
                <c:pt idx="2">
                  <c:v>1.4235114867752556</c:v>
                </c:pt>
                <c:pt idx="3">
                  <c:v>2.8878658476675465</c:v>
                </c:pt>
                <c:pt idx="4">
                  <c:v>4.6094017920510444</c:v>
                </c:pt>
                <c:pt idx="5">
                  <c:v>6.4556430271833758</c:v>
                </c:pt>
                <c:pt idx="6">
                  <c:v>8.3160248821577873</c:v>
                </c:pt>
                <c:pt idx="7">
                  <c:v>10.05295998173292</c:v>
                </c:pt>
                <c:pt idx="8">
                  <c:v>11.591516790344796</c:v>
                </c:pt>
                <c:pt idx="9">
                  <c:v>12.879096013982604</c:v>
                </c:pt>
                <c:pt idx="10">
                  <c:v>13.819685310264674</c:v>
                </c:pt>
                <c:pt idx="11">
                  <c:v>14.395623565966314</c:v>
                </c:pt>
                <c:pt idx="12">
                  <c:v>14.642134214246399</c:v>
                </c:pt>
                <c:pt idx="13">
                  <c:v>14.57932140292297</c:v>
                </c:pt>
                <c:pt idx="14">
                  <c:v>14.278974602970635</c:v>
                </c:pt>
                <c:pt idx="15">
                  <c:v>13.841392282039175</c:v>
                </c:pt>
                <c:pt idx="16">
                  <c:v>13.338671665641314</c:v>
                </c:pt>
                <c:pt idx="17">
                  <c:v>12.832519368770246</c:v>
                </c:pt>
                <c:pt idx="18">
                  <c:v>12.372793949022014</c:v>
                </c:pt>
                <c:pt idx="19">
                  <c:v>11.983168051313809</c:v>
                </c:pt>
                <c:pt idx="20">
                  <c:v>11.673941639792949</c:v>
                </c:pt>
                <c:pt idx="21">
                  <c:v>11.450150631244956</c:v>
                </c:pt>
                <c:pt idx="22">
                  <c:v>11.310677785159443</c:v>
                </c:pt>
                <c:pt idx="23">
                  <c:v>11.253651034310229</c:v>
                </c:pt>
                <c:pt idx="24">
                  <c:v>11.277497633608355</c:v>
                </c:pt>
                <c:pt idx="25">
                  <c:v>11.380732677207689</c:v>
                </c:pt>
              </c:numCache>
            </c:numRef>
          </c:val>
          <c:smooth val="0"/>
          <c:extLst>
            <c:ext xmlns:c16="http://schemas.microsoft.com/office/drawing/2014/chart" uri="{C3380CC4-5D6E-409C-BE32-E72D297353CC}">
              <c16:uniqueId val="{00000001-E6A3-AF49-AA6D-EC36D9891946}"/>
            </c:ext>
          </c:extLst>
        </c:ser>
        <c:dLbls>
          <c:showLegendKey val="0"/>
          <c:showVal val="0"/>
          <c:showCatName val="0"/>
          <c:showSerName val="0"/>
          <c:showPercent val="0"/>
          <c:showBubbleSize val="0"/>
        </c:dLbls>
        <c:smooth val="0"/>
        <c:axId val="842526239"/>
        <c:axId val="839935871"/>
      </c:lineChart>
      <c:catAx>
        <c:axId val="842526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839935871"/>
        <c:crosses val="autoZero"/>
        <c:auto val="1"/>
        <c:lblAlgn val="ctr"/>
        <c:lblOffset val="100"/>
        <c:noMultiLvlLbl val="0"/>
      </c:catAx>
      <c:valAx>
        <c:axId val="8399358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GDP</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8425262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'MAIN MODEL'!$B$12</c:f>
              <c:strCache>
                <c:ptCount val="1"/>
                <c:pt idx="0">
                  <c:v>Y $Bn</c:v>
                </c:pt>
              </c:strCache>
            </c:strRef>
          </c:tx>
          <c:spPr>
            <a:ln w="28575" cap="rnd">
              <a:solidFill>
                <a:schemeClr val="accent1"/>
              </a:solidFill>
              <a:round/>
            </a:ln>
            <a:effectLst/>
          </c:spPr>
          <c:marker>
            <c:symbol val="none"/>
          </c:marker>
          <c:cat>
            <c:numRef>
              <c:f>'MAIN MODEL'!$C$9:$AB$9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'MAIN MODEL'!$C$12:$AB$12</c:f>
              <c:numCache>
                <c:formatCode>0.00</c:formatCode>
                <c:ptCount val="26"/>
                <c:pt idx="0">
                  <c:v>33.19695309980451</c:v>
                </c:pt>
                <c:pt idx="1">
                  <c:v>34.985875340499724</c:v>
                </c:pt>
                <c:pt idx="2">
                  <c:v>36.999451274552904</c:v>
                </c:pt>
                <c:pt idx="3">
                  <c:v>39.28529597941214</c:v>
                </c:pt>
                <c:pt idx="4">
                  <c:v>41.986617791215302</c:v>
                </c:pt>
                <c:pt idx="5">
                  <c:v>44.971883739669387</c:v>
                </c:pt>
                <c:pt idx="6">
                  <c:v>48.460630898581904</c:v>
                </c:pt>
                <c:pt idx="7">
                  <c:v>52.758703496044632</c:v>
                </c:pt>
                <c:pt idx="8">
                  <c:v>57.813861979973183</c:v>
                </c:pt>
                <c:pt idx="9">
                  <c:v>63.849557070234283</c:v>
                </c:pt>
                <c:pt idx="10">
                  <c:v>71.225515302673713</c:v>
                </c:pt>
                <c:pt idx="11">
                  <c:v>79.943741523740471</c:v>
                </c:pt>
                <c:pt idx="12">
                  <c:v>90.062177875922885</c:v>
                </c:pt>
                <c:pt idx="13">
                  <c:v>101.72351872916445</c:v>
                </c:pt>
                <c:pt idx="14">
                  <c:v>114.80350151039057</c:v>
                </c:pt>
                <c:pt idx="15">
                  <c:v>129.14219190404839</c:v>
                </c:pt>
                <c:pt idx="16">
                  <c:v>144.67058553755504</c:v>
                </c:pt>
                <c:pt idx="17">
                  <c:v>161.25355215817345</c:v>
                </c:pt>
                <c:pt idx="18">
                  <c:v>178.78656600810734</c:v>
                </c:pt>
                <c:pt idx="19">
                  <c:v>197.26464007223825</c:v>
                </c:pt>
                <c:pt idx="20">
                  <c:v>216.7052528850659</c:v>
                </c:pt>
                <c:pt idx="21">
                  <c:v>237.16046077546474</c:v>
                </c:pt>
                <c:pt idx="22">
                  <c:v>258.70892218530321</c:v>
                </c:pt>
                <c:pt idx="23">
                  <c:v>281.46178522339187</c:v>
                </c:pt>
                <c:pt idx="24">
                  <c:v>305.56061947020117</c:v>
                </c:pt>
                <c:pt idx="25">
                  <c:v>331.11018446915836</c:v>
                </c:pt>
              </c:numCache>
            </c:numRef>
          </c:val>
          <c:smooth val="0"/>
          <c:extLst>
            <c:ext xmlns:c16="http://schemas.microsoft.com/office/drawing/2014/chart" uri="{C3380CC4-5D6E-409C-BE32-E72D297353CC}">
              <c16:uniqueId val="{00000000-A5EB-F04B-A4DC-8BFBACF7C7C0}"/>
            </c:ext>
          </c:extLst>
        </c:ser>
        <c:dLbls>
          <c:showLegendKey val="0"/>
          <c:showVal val="0"/>
          <c:showCatName val="0"/>
          <c:showSerName val="0"/>
          <c:showPercent val="0"/>
          <c:showBubbleSize val="0"/>
        </c:dLbls>
        <c:smooth val="0"/>
        <c:axId val="1042894736"/>
        <c:axId val="677479568"/>
      </c:lineChart>
      <c:catAx>
        <c:axId val="104289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77479568"/>
        <c:crosses val="autoZero"/>
        <c:auto val="1"/>
        <c:lblAlgn val="ctr"/>
        <c:lblOffset val="100"/>
        <c:noMultiLvlLbl val="0"/>
      </c:catAx>
      <c:valAx>
        <c:axId val="6774795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$ 2015 Bn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428947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Transition to the new economy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'MAIN MODEL'!$B$10</c:f>
              <c:strCache>
                <c:ptCount val="1"/>
                <c:pt idx="0">
                  <c:v>Y-OLD $Bn</c:v>
                </c:pt>
              </c:strCache>
            </c:strRef>
          </c:tx>
          <c:spPr>
            <a:solidFill>
              <a:schemeClr val="accent1"/>
            </a:solidFill>
            <a:ln>
              <a:noFill/>
            </a:ln>
            <a:effectLst/>
          </c:spPr>
          <c:invertIfNegative val="0"/>
          <c:cat>
            <c:numRef>
              <c:f>'MAIN MODEL'!$C$9:$AB$9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'MAIN MODEL'!$C$10:$AB$10</c:f>
              <c:numCache>
                <c:formatCode>0.00</c:formatCode>
                <c:ptCount val="26"/>
                <c:pt idx="0">
                  <c:v>33.133147879075253</c:v>
                </c:pt>
                <c:pt idx="1">
                  <c:v>34.662359401667715</c:v>
                </c:pt>
                <c:pt idx="2">
                  <c:v>36.29810614161871</c:v>
                </c:pt>
                <c:pt idx="3">
                  <c:v>37.923494114343981</c:v>
                </c:pt>
                <c:pt idx="4">
                  <c:v>39.501629853849472</c:v>
                </c:pt>
                <c:pt idx="5">
                  <c:v>41.020469550996189</c:v>
                </c:pt>
                <c:pt idx="6">
                  <c:v>42.421985414835923</c:v>
                </c:pt>
                <c:pt idx="7">
                  <c:v>43.655467925689585</c:v>
                </c:pt>
                <c:pt idx="8">
                  <c:v>44.684651389742719</c:v>
                </c:pt>
                <c:pt idx="9">
                  <c:v>45.470724178918367</c:v>
                </c:pt>
                <c:pt idx="10">
                  <c:v>45.991450203929219</c:v>
                </c:pt>
                <c:pt idx="11">
                  <c:v>46.262795846902399</c:v>
                </c:pt>
                <c:pt idx="12">
                  <c:v>46.333789591900114</c:v>
                </c:pt>
                <c:pt idx="13">
                  <c:v>46.279393325622003</c:v>
                </c:pt>
                <c:pt idx="14">
                  <c:v>46.194547429960977</c:v>
                </c:pt>
                <c:pt idx="15">
                  <c:v>46.177523170665644</c:v>
                </c:pt>
                <c:pt idx="16">
                  <c:v>46.310663398684454</c:v>
                </c:pt>
                <c:pt idx="17">
                  <c:v>46.653617171718366</c:v>
                </c:pt>
                <c:pt idx="18">
                  <c:v>47.244972256191645</c:v>
                </c:pt>
                <c:pt idx="19">
                  <c:v>48.099494370567093</c:v>
                </c:pt>
                <c:pt idx="20">
                  <c:v>49.214429532269953</c:v>
                </c:pt>
                <c:pt idx="21">
                  <c:v>50.579105850096717</c:v>
                </c:pt>
                <c:pt idx="22">
                  <c:v>52.172371170051086</c:v>
                </c:pt>
                <c:pt idx="23">
                  <c:v>53.974809672792027</c:v>
                </c:pt>
                <c:pt idx="24">
                  <c:v>55.971827278503824</c:v>
                </c:pt>
                <c:pt idx="25">
                  <c:v>58.141401289554459</c:v>
                </c:pt>
              </c:numCache>
            </c:numRef>
          </c:val>
          <c:extLst>
            <c:ext xmlns:c16="http://schemas.microsoft.com/office/drawing/2014/chart" uri="{C3380CC4-5D6E-409C-BE32-E72D297353CC}">
              <c16:uniqueId val="{00000000-A39A-0041-9A02-DEF40FA998F7}"/>
            </c:ext>
          </c:extLst>
        </c:ser>
        <c:ser>
          <c:idx val="1"/>
          <c:order val="1"/>
          <c:tx>
            <c:strRef>
              <c:f>'MAIN MODEL'!$B$11</c:f>
              <c:strCache>
                <c:ptCount val="1"/>
                <c:pt idx="0">
                  <c:v>Y-NEW $Bn</c:v>
                </c:pt>
              </c:strCache>
            </c:strRef>
          </c:tx>
          <c:spPr>
            <a:solidFill>
              <a:schemeClr val="accent2"/>
            </a:solidFill>
            <a:ln>
              <a:noFill/>
            </a:ln>
            <a:effectLst/>
          </c:spPr>
          <c:invertIfNegative val="0"/>
          <c:cat>
            <c:numRef>
              <c:f>'MAIN MODEL'!$C$9:$AB$9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'MAIN MODEL'!$C$11:$AB$11</c:f>
              <c:numCache>
                <c:formatCode>0.00</c:formatCode>
                <c:ptCount val="26"/>
                <c:pt idx="0">
                  <c:v>6.3805220729257872E-2</c:v>
                </c:pt>
                <c:pt idx="1">
                  <c:v>0.32351593883200824</c:v>
                </c:pt>
                <c:pt idx="2">
                  <c:v>0.7013451329341911</c:v>
                </c:pt>
                <c:pt idx="3">
                  <c:v>1.3618018650681603</c:v>
                </c:pt>
                <c:pt idx="4">
                  <c:v>2.484987937365831</c:v>
                </c:pt>
                <c:pt idx="5">
                  <c:v>3.951414188673195</c:v>
                </c:pt>
                <c:pt idx="6">
                  <c:v>6.0386454837459826</c:v>
                </c:pt>
                <c:pt idx="7">
                  <c:v>9.1032355703550465</c:v>
                </c:pt>
                <c:pt idx="8">
                  <c:v>13.129210590230461</c:v>
                </c:pt>
                <c:pt idx="9">
                  <c:v>18.378832891315913</c:v>
                </c:pt>
                <c:pt idx="10">
                  <c:v>25.234065098744491</c:v>
                </c:pt>
                <c:pt idx="11">
                  <c:v>33.680945676838078</c:v>
                </c:pt>
                <c:pt idx="12">
                  <c:v>43.728388284022763</c:v>
                </c:pt>
                <c:pt idx="13">
                  <c:v>55.444125403542444</c:v>
                </c:pt>
                <c:pt idx="14">
                  <c:v>68.608954080429598</c:v>
                </c:pt>
                <c:pt idx="15">
                  <c:v>82.964668733382737</c:v>
                </c:pt>
                <c:pt idx="16">
                  <c:v>98.359922138870573</c:v>
                </c:pt>
                <c:pt idx="17">
                  <c:v>114.59993498645508</c:v>
                </c:pt>
                <c:pt idx="18">
                  <c:v>131.54159375191568</c:v>
                </c:pt>
                <c:pt idx="19">
                  <c:v>149.16514570167115</c:v>
                </c:pt>
                <c:pt idx="20">
                  <c:v>167.49082335279596</c:v>
                </c:pt>
                <c:pt idx="21">
                  <c:v>186.58135492536803</c:v>
                </c:pt>
                <c:pt idx="22">
                  <c:v>206.53655101525214</c:v>
                </c:pt>
                <c:pt idx="23">
                  <c:v>227.48697555059985</c:v>
                </c:pt>
                <c:pt idx="24">
                  <c:v>249.58879219169734</c:v>
                </c:pt>
                <c:pt idx="25">
                  <c:v>272.96878317960392</c:v>
                </c:pt>
              </c:numCache>
            </c:numRef>
          </c:val>
          <c:extLst>
            <c:ext xmlns:c16="http://schemas.microsoft.com/office/drawing/2014/chart" uri="{C3380CC4-5D6E-409C-BE32-E72D297353CC}">
              <c16:uniqueId val="{00000001-A39A-0041-9A02-DEF40FA998F7}"/>
            </c:ext>
          </c:extLst>
        </c:ser>
        <c:dLbls>
          <c:showLegendKey val="0"/>
          <c:showVal val="0"/>
          <c:showCatName val="0"/>
          <c:showSerName val="0"/>
          <c:showPercent val="0"/>
          <c:showBubbleSize val="0"/>
        </c:dLbls>
        <c:gapWidth val="150"/>
        <c:overlap val="100"/>
        <c:axId val="691998288"/>
        <c:axId val="1219198560"/>
      </c:barChart>
      <c:catAx>
        <c:axId val="691998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19198560"/>
        <c:crosses val="autoZero"/>
        <c:auto val="1"/>
        <c:lblAlgn val="ctr"/>
        <c:lblOffset val="100"/>
        <c:noMultiLvlLbl val="0"/>
      </c:catAx>
      <c:valAx>
        <c:axId val="1219198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$ 2015 Bn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91998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'MAIN MODEL'!$B$39</c:f>
              <c:strCache>
                <c:ptCount val="1"/>
                <c:pt idx="0">
                  <c:v>GDP/Capita $ 2015</c:v>
                </c:pt>
              </c:strCache>
            </c:strRef>
          </c:tx>
          <c:spPr>
            <a:ln w="28575" cap="rnd">
              <a:solidFill>
                <a:schemeClr val="accent1"/>
              </a:solidFill>
              <a:round/>
            </a:ln>
            <a:effectLst/>
          </c:spPr>
          <c:marker>
            <c:symbol val="none"/>
          </c:marker>
          <c:cat>
            <c:numRef>
              <c:f>'MAIN MODEL'!$C$9:$AB$9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'MAIN MODEL'!$C$39:$AB$39</c:f>
              <c:numCache>
                <c:formatCode>0</c:formatCode>
                <c:ptCount val="26"/>
                <c:pt idx="0">
                  <c:v>1101.0312833954288</c:v>
                </c:pt>
                <c:pt idx="1">
                  <c:v>1131.6985786952446</c:v>
                </c:pt>
                <c:pt idx="2">
                  <c:v>1167.6775519356879</c:v>
                </c:pt>
                <c:pt idx="3">
                  <c:v>1210.0273094010249</c:v>
                </c:pt>
                <c:pt idx="4">
                  <c:v>1262.5504524473079</c:v>
                </c:pt>
                <c:pt idx="5">
                  <c:v>1320.7173858558822</c:v>
                </c:pt>
                <c:pt idx="6">
                  <c:v>1390.440028617038</c:v>
                </c:pt>
                <c:pt idx="7">
                  <c:v>1479.4260228864259</c:v>
                </c:pt>
                <c:pt idx="8">
                  <c:v>1584.7868319007432</c:v>
                </c:pt>
                <c:pt idx="9">
                  <c:v>1711.3841465502394</c:v>
                </c:pt>
                <c:pt idx="10">
                  <c:v>1867.3389432186964</c:v>
                </c:pt>
                <c:pt idx="11">
                  <c:v>2050.6852498794751</c:v>
                </c:pt>
                <c:pt idx="12">
                  <c:v>2260.956180985464</c:v>
                </c:pt>
                <c:pt idx="13">
                  <c:v>2499.9194221454886</c:v>
                </c:pt>
                <c:pt idx="14">
                  <c:v>2762.7441527242322</c:v>
                </c:pt>
                <c:pt idx="15">
                  <c:v>3044.0811224197059</c:v>
                </c:pt>
                <c:pt idx="16">
                  <c:v>3341.2527856760735</c:v>
                </c:pt>
                <c:pt idx="17">
                  <c:v>3650.3542510551147</c:v>
                </c:pt>
                <c:pt idx="18">
                  <c:v>3968.2001215165574</c:v>
                </c:pt>
                <c:pt idx="19">
                  <c:v>4294.0961326863708</c:v>
                </c:pt>
                <c:pt idx="20">
                  <c:v>4627.9559152730417</c:v>
                </c:pt>
                <c:pt idx="21">
                  <c:v>4970.2472260519571</c:v>
                </c:pt>
                <c:pt idx="22">
                  <c:v>5322.4674977625255</c:v>
                </c:pt>
                <c:pt idx="23">
                  <c:v>5686.3883426948278</c:v>
                </c:pt>
                <c:pt idx="24">
                  <c:v>6063.8920798915406</c:v>
                </c:pt>
                <c:pt idx="25">
                  <c:v>6456.9622763759744</c:v>
                </c:pt>
              </c:numCache>
            </c:numRef>
          </c:val>
          <c:smooth val="0"/>
          <c:extLst>
            <c:ext xmlns:c16="http://schemas.microsoft.com/office/drawing/2014/chart" uri="{C3380CC4-5D6E-409C-BE32-E72D297353CC}">
              <c16:uniqueId val="{00000000-F8A9-844B-B6F3-3565F74D381A}"/>
            </c:ext>
          </c:extLst>
        </c:ser>
        <c:dLbls>
          <c:showLegendKey val="0"/>
          <c:showVal val="0"/>
          <c:showCatName val="0"/>
          <c:showSerName val="0"/>
          <c:showPercent val="0"/>
          <c:showBubbleSize val="0"/>
        </c:dLbls>
        <c:smooth val="0"/>
        <c:axId val="2043001360"/>
        <c:axId val="723428880"/>
      </c:lineChart>
      <c:catAx>
        <c:axId val="204300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23428880"/>
        <c:crosses val="autoZero"/>
        <c:auto val="1"/>
        <c:lblAlgn val="ctr"/>
        <c:lblOffset val="100"/>
        <c:noMultiLvlLbl val="0"/>
      </c:catAx>
      <c:valAx>
        <c:axId val="723428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430013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'MAIN MODEL'!$B$36</c:f>
              <c:strCache>
                <c:ptCount val="1"/>
                <c:pt idx="0">
                  <c:v>CO2 emissions Mt</c:v>
                </c:pt>
              </c:strCache>
            </c:strRef>
          </c:tx>
          <c:spPr>
            <a:ln w="28575" cap="rnd">
              <a:solidFill>
                <a:schemeClr val="accent1"/>
              </a:solidFill>
              <a:round/>
            </a:ln>
            <a:effectLst/>
          </c:spPr>
          <c:marker>
            <c:symbol val="none"/>
          </c:marker>
          <c:cat>
            <c:numRef>
              <c:f>'MAIN MODEL'!$C$9:$AB$9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'MAIN MODEL'!$C$36:$AB$36</c:f>
              <c:numCache>
                <c:formatCode>0.00</c:formatCode>
                <c:ptCount val="26"/>
                <c:pt idx="0">
                  <c:v>7</c:v>
                </c:pt>
                <c:pt idx="1">
                  <c:v>6.7330637379057983</c:v>
                </c:pt>
                <c:pt idx="2">
                  <c:v>6.4827285144828162</c:v>
                </c:pt>
                <c:pt idx="3">
                  <c:v>6.2273242041467096</c:v>
                </c:pt>
                <c:pt idx="4">
                  <c:v>5.9638595945624475</c:v>
                </c:pt>
                <c:pt idx="5">
                  <c:v>5.694194350297952</c:v>
                </c:pt>
                <c:pt idx="6">
                  <c:v>5.4142949729395289</c:v>
                </c:pt>
                <c:pt idx="7">
                  <c:v>5.1228168983130553</c:v>
                </c:pt>
                <c:pt idx="8">
                  <c:v>4.8211186904403656</c:v>
                </c:pt>
                <c:pt idx="9">
                  <c:v>4.5106651026766968</c:v>
                </c:pt>
                <c:pt idx="10">
                  <c:v>4.1947403184524763</c:v>
                </c:pt>
                <c:pt idx="11">
                  <c:v>3.8795300064538396</c:v>
                </c:pt>
                <c:pt idx="12">
                  <c:v>3.572434917455805</c:v>
                </c:pt>
                <c:pt idx="13">
                  <c:v>3.2807521651382636</c:v>
                </c:pt>
                <c:pt idx="14">
                  <c:v>3.0108959474013615</c:v>
                </c:pt>
                <c:pt idx="15">
                  <c:v>2.7672916259769305</c:v>
                </c:pt>
                <c:pt idx="16">
                  <c:v>2.5516703063855286</c:v>
                </c:pt>
                <c:pt idx="17">
                  <c:v>2.3634593784932911</c:v>
                </c:pt>
                <c:pt idx="18">
                  <c:v>2.2005826413739302</c:v>
                </c:pt>
                <c:pt idx="19">
                  <c:v>2.0598797067143928</c:v>
                </c:pt>
                <c:pt idx="20">
                  <c:v>1.9378183626685197</c:v>
                </c:pt>
                <c:pt idx="21">
                  <c:v>1.8310956150216799</c:v>
                </c:pt>
                <c:pt idx="22">
                  <c:v>1.7365996691419481</c:v>
                </c:pt>
                <c:pt idx="23">
                  <c:v>1.6518458695987777</c:v>
                </c:pt>
                <c:pt idx="24">
                  <c:v>1.5749513786787261</c:v>
                </c:pt>
                <c:pt idx="25">
                  <c:v>1.5041890535329974</c:v>
                </c:pt>
              </c:numCache>
            </c:numRef>
          </c:val>
          <c:smooth val="0"/>
          <c:extLst>
            <c:ext xmlns:c16="http://schemas.microsoft.com/office/drawing/2014/chart" uri="{C3380CC4-5D6E-409C-BE32-E72D297353CC}">
              <c16:uniqueId val="{00000000-C3FB-9348-9A91-CC2EDEB848F5}"/>
            </c:ext>
          </c:extLst>
        </c:ser>
        <c:dLbls>
          <c:showLegendKey val="0"/>
          <c:showVal val="0"/>
          <c:showCatName val="0"/>
          <c:showSerName val="0"/>
          <c:showPercent val="0"/>
          <c:showBubbleSize val="0"/>
        </c:dLbls>
        <c:smooth val="0"/>
        <c:axId val="717437360"/>
        <c:axId val="718245456"/>
      </c:lineChart>
      <c:catAx>
        <c:axId val="71743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18245456"/>
        <c:crosses val="autoZero"/>
        <c:auto val="1"/>
        <c:lblAlgn val="ctr"/>
        <c:lblOffset val="100"/>
        <c:noMultiLvlLbl val="0"/>
      </c:catAx>
      <c:valAx>
        <c:axId val="718245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174373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GDPY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'MAIN MODEL'!$B$12</c:f>
              <c:strCache>
                <c:ptCount val="1"/>
                <c:pt idx="0">
                  <c:v>Y $Bn</c:v>
                </c:pt>
              </c:strCache>
            </c:strRef>
          </c:tx>
          <c:spPr>
            <a:ln w="28575" cap="rnd">
              <a:solidFill>
                <a:schemeClr val="accent1"/>
              </a:solidFill>
              <a:round/>
            </a:ln>
            <a:effectLst/>
          </c:spPr>
          <c:marker>
            <c:symbol val="none"/>
          </c:marker>
          <c:cat>
            <c:numRef>
              <c:f>'MAIN MODEL'!$C$9:$AB$9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'MAIN MODEL'!$C$12:$AB$12</c:f>
              <c:numCache>
                <c:formatCode>0.00</c:formatCode>
                <c:ptCount val="26"/>
                <c:pt idx="0">
                  <c:v>33.19695309980451</c:v>
                </c:pt>
                <c:pt idx="1">
                  <c:v>34.985875340499724</c:v>
                </c:pt>
                <c:pt idx="2">
                  <c:v>36.999451274552904</c:v>
                </c:pt>
                <c:pt idx="3">
                  <c:v>39.28529597941214</c:v>
                </c:pt>
                <c:pt idx="4">
                  <c:v>41.986617791215302</c:v>
                </c:pt>
                <c:pt idx="5">
                  <c:v>44.971883739669387</c:v>
                </c:pt>
                <c:pt idx="6">
                  <c:v>48.460630898581904</c:v>
                </c:pt>
                <c:pt idx="7">
                  <c:v>52.758703496044632</c:v>
                </c:pt>
                <c:pt idx="8">
                  <c:v>57.813861979973183</c:v>
                </c:pt>
                <c:pt idx="9">
                  <c:v>63.849557070234283</c:v>
                </c:pt>
                <c:pt idx="10">
                  <c:v>71.225515302673713</c:v>
                </c:pt>
                <c:pt idx="11">
                  <c:v>79.943741523740471</c:v>
                </c:pt>
                <c:pt idx="12">
                  <c:v>90.062177875922885</c:v>
                </c:pt>
                <c:pt idx="13">
                  <c:v>101.72351872916445</c:v>
                </c:pt>
                <c:pt idx="14">
                  <c:v>114.80350151039057</c:v>
                </c:pt>
                <c:pt idx="15">
                  <c:v>129.14219190404839</c:v>
                </c:pt>
                <c:pt idx="16">
                  <c:v>144.67058553755504</c:v>
                </c:pt>
                <c:pt idx="17">
                  <c:v>161.25355215817345</c:v>
                </c:pt>
                <c:pt idx="18">
                  <c:v>178.78656600810734</c:v>
                </c:pt>
                <c:pt idx="19">
                  <c:v>197.26464007223825</c:v>
                </c:pt>
                <c:pt idx="20">
                  <c:v>216.7052528850659</c:v>
                </c:pt>
                <c:pt idx="21">
                  <c:v>237.16046077546474</c:v>
                </c:pt>
                <c:pt idx="22">
                  <c:v>258.70892218530321</c:v>
                </c:pt>
                <c:pt idx="23">
                  <c:v>281.46178522339187</c:v>
                </c:pt>
                <c:pt idx="24">
                  <c:v>305.56061947020117</c:v>
                </c:pt>
                <c:pt idx="25">
                  <c:v>331.11018446915836</c:v>
                </c:pt>
              </c:numCache>
            </c:numRef>
          </c:val>
          <c:smooth val="0"/>
          <c:extLst>
            <c:ext xmlns:c16="http://schemas.microsoft.com/office/drawing/2014/chart" uri="{C3380CC4-5D6E-409C-BE32-E72D297353CC}">
              <c16:uniqueId val="{00000000-7C18-A740-A1DB-4753F3D61B82}"/>
            </c:ext>
          </c:extLst>
        </c:ser>
        <c:dLbls>
          <c:showLegendKey val="0"/>
          <c:showVal val="0"/>
          <c:showCatName val="0"/>
          <c:showSerName val="0"/>
          <c:showPercent val="0"/>
          <c:showBubbleSize val="0"/>
        </c:dLbls>
        <c:smooth val="0"/>
        <c:axId val="1042894736"/>
        <c:axId val="677479568"/>
      </c:lineChart>
      <c:catAx>
        <c:axId val="104289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77479568"/>
        <c:crosses val="autoZero"/>
        <c:auto val="1"/>
        <c:lblAlgn val="ctr"/>
        <c:lblOffset val="100"/>
        <c:noMultiLvlLbl val="0"/>
      </c:catAx>
      <c:valAx>
        <c:axId val="6774795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$ 2015 Bn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428947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Transition to the new economy  </a:t>
            </a:r>
          </a:p>
        </c:rich>
      </c:tx>
      <c:layout>
        <c:manualLayout>
          <c:xMode val="edge"/>
          <c:yMode val="edge"/>
          <c:x val="0.25824088323969641"/>
          <c:y val="2.836471816190670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'MAIN MODEL'!$B$10</c:f>
              <c:strCache>
                <c:ptCount val="1"/>
                <c:pt idx="0">
                  <c:v>Y-OLD $Bn</c:v>
                </c:pt>
              </c:strCache>
            </c:strRef>
          </c:tx>
          <c:spPr>
            <a:solidFill>
              <a:schemeClr val="accent1"/>
            </a:solidFill>
            <a:ln>
              <a:noFill/>
            </a:ln>
            <a:effectLst/>
          </c:spPr>
          <c:invertIfNegative val="0"/>
          <c:cat>
            <c:numRef>
              <c:f>'MAIN MODEL'!$C$9:$AB$9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'MAIN MODEL'!$C$10:$AB$10</c:f>
              <c:numCache>
                <c:formatCode>0.00</c:formatCode>
                <c:ptCount val="26"/>
                <c:pt idx="0">
                  <c:v>33.133147879075253</c:v>
                </c:pt>
                <c:pt idx="1">
                  <c:v>34.662359401667715</c:v>
                </c:pt>
                <c:pt idx="2">
                  <c:v>36.29810614161871</c:v>
                </c:pt>
                <c:pt idx="3">
                  <c:v>37.923494114343981</c:v>
                </c:pt>
                <c:pt idx="4">
                  <c:v>39.501629853849472</c:v>
                </c:pt>
                <c:pt idx="5">
                  <c:v>41.020469550996189</c:v>
                </c:pt>
                <c:pt idx="6">
                  <c:v>42.421985414835923</c:v>
                </c:pt>
                <c:pt idx="7">
                  <c:v>43.655467925689585</c:v>
                </c:pt>
                <c:pt idx="8">
                  <c:v>44.684651389742719</c:v>
                </c:pt>
                <c:pt idx="9">
                  <c:v>45.470724178918367</c:v>
                </c:pt>
                <c:pt idx="10">
                  <c:v>45.991450203929219</c:v>
                </c:pt>
                <c:pt idx="11">
                  <c:v>46.262795846902399</c:v>
                </c:pt>
                <c:pt idx="12">
                  <c:v>46.333789591900114</c:v>
                </c:pt>
                <c:pt idx="13">
                  <c:v>46.279393325622003</c:v>
                </c:pt>
                <c:pt idx="14">
                  <c:v>46.194547429960977</c:v>
                </c:pt>
                <c:pt idx="15">
                  <c:v>46.177523170665644</c:v>
                </c:pt>
                <c:pt idx="16">
                  <c:v>46.310663398684454</c:v>
                </c:pt>
                <c:pt idx="17">
                  <c:v>46.653617171718366</c:v>
                </c:pt>
                <c:pt idx="18">
                  <c:v>47.244972256191645</c:v>
                </c:pt>
                <c:pt idx="19">
                  <c:v>48.099494370567093</c:v>
                </c:pt>
                <c:pt idx="20">
                  <c:v>49.214429532269953</c:v>
                </c:pt>
                <c:pt idx="21">
                  <c:v>50.579105850096717</c:v>
                </c:pt>
                <c:pt idx="22">
                  <c:v>52.172371170051086</c:v>
                </c:pt>
                <c:pt idx="23">
                  <c:v>53.974809672792027</c:v>
                </c:pt>
                <c:pt idx="24">
                  <c:v>55.971827278503824</c:v>
                </c:pt>
                <c:pt idx="25">
                  <c:v>58.141401289554459</c:v>
                </c:pt>
              </c:numCache>
            </c:numRef>
          </c:val>
          <c:extLst>
            <c:ext xmlns:c16="http://schemas.microsoft.com/office/drawing/2014/chart" uri="{C3380CC4-5D6E-409C-BE32-E72D297353CC}">
              <c16:uniqueId val="{00000000-B658-BC46-AAE8-E73EB9F1F563}"/>
            </c:ext>
          </c:extLst>
        </c:ser>
        <c:ser>
          <c:idx val="1"/>
          <c:order val="1"/>
          <c:tx>
            <c:strRef>
              <c:f>'MAIN MODEL'!$B$11</c:f>
              <c:strCache>
                <c:ptCount val="1"/>
                <c:pt idx="0">
                  <c:v>Y-NEW $Bn</c:v>
                </c:pt>
              </c:strCache>
            </c:strRef>
          </c:tx>
          <c:spPr>
            <a:solidFill>
              <a:schemeClr val="accent2"/>
            </a:solidFill>
            <a:ln>
              <a:noFill/>
            </a:ln>
            <a:effectLst/>
          </c:spPr>
          <c:invertIfNegative val="0"/>
          <c:cat>
            <c:numRef>
              <c:f>'MAIN MODEL'!$C$9:$AB$9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'MAIN MODEL'!$C$11:$AB$11</c:f>
              <c:numCache>
                <c:formatCode>0.00</c:formatCode>
                <c:ptCount val="26"/>
                <c:pt idx="0">
                  <c:v>6.3805220729257872E-2</c:v>
                </c:pt>
                <c:pt idx="1">
                  <c:v>0.32351593883200824</c:v>
                </c:pt>
                <c:pt idx="2">
                  <c:v>0.7013451329341911</c:v>
                </c:pt>
                <c:pt idx="3">
                  <c:v>1.3618018650681603</c:v>
                </c:pt>
                <c:pt idx="4">
                  <c:v>2.484987937365831</c:v>
                </c:pt>
                <c:pt idx="5">
                  <c:v>3.951414188673195</c:v>
                </c:pt>
                <c:pt idx="6">
                  <c:v>6.0386454837459826</c:v>
                </c:pt>
                <c:pt idx="7">
                  <c:v>9.1032355703550465</c:v>
                </c:pt>
                <c:pt idx="8">
                  <c:v>13.129210590230461</c:v>
                </c:pt>
                <c:pt idx="9">
                  <c:v>18.378832891315913</c:v>
                </c:pt>
                <c:pt idx="10">
                  <c:v>25.234065098744491</c:v>
                </c:pt>
                <c:pt idx="11">
                  <c:v>33.680945676838078</c:v>
                </c:pt>
                <c:pt idx="12">
                  <c:v>43.728388284022763</c:v>
                </c:pt>
                <c:pt idx="13">
                  <c:v>55.444125403542444</c:v>
                </c:pt>
                <c:pt idx="14">
                  <c:v>68.608954080429598</c:v>
                </c:pt>
                <c:pt idx="15">
                  <c:v>82.964668733382737</c:v>
                </c:pt>
                <c:pt idx="16">
                  <c:v>98.359922138870573</c:v>
                </c:pt>
                <c:pt idx="17">
                  <c:v>114.59993498645508</c:v>
                </c:pt>
                <c:pt idx="18">
                  <c:v>131.54159375191568</c:v>
                </c:pt>
                <c:pt idx="19">
                  <c:v>149.16514570167115</c:v>
                </c:pt>
                <c:pt idx="20">
                  <c:v>167.49082335279596</c:v>
                </c:pt>
                <c:pt idx="21">
                  <c:v>186.58135492536803</c:v>
                </c:pt>
                <c:pt idx="22">
                  <c:v>206.53655101525214</c:v>
                </c:pt>
                <c:pt idx="23">
                  <c:v>227.48697555059985</c:v>
                </c:pt>
                <c:pt idx="24">
                  <c:v>249.58879219169734</c:v>
                </c:pt>
                <c:pt idx="25">
                  <c:v>272.96878317960392</c:v>
                </c:pt>
              </c:numCache>
            </c:numRef>
          </c:val>
          <c:extLst>
            <c:ext xmlns:c16="http://schemas.microsoft.com/office/drawing/2014/chart" uri="{C3380CC4-5D6E-409C-BE32-E72D297353CC}">
              <c16:uniqueId val="{00000001-B658-BC46-AAE8-E73EB9F1F563}"/>
            </c:ext>
          </c:extLst>
        </c:ser>
        <c:dLbls>
          <c:showLegendKey val="0"/>
          <c:showVal val="0"/>
          <c:showCatName val="0"/>
          <c:showSerName val="0"/>
          <c:showPercent val="0"/>
          <c:showBubbleSize val="0"/>
        </c:dLbls>
        <c:gapWidth val="150"/>
        <c:overlap val="100"/>
        <c:axId val="691998288"/>
        <c:axId val="1219198560"/>
      </c:barChart>
      <c:catAx>
        <c:axId val="691998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19198560"/>
        <c:crosses val="autoZero"/>
        <c:auto val="1"/>
        <c:lblAlgn val="ctr"/>
        <c:lblOffset val="100"/>
        <c:noMultiLvlLbl val="0"/>
      </c:catAx>
      <c:valAx>
        <c:axId val="1219198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$ 2015 Bn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91998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'MAIN MODEL'!$B$39</c:f>
              <c:strCache>
                <c:ptCount val="1"/>
                <c:pt idx="0">
                  <c:v>GDP/Capita $ 2015</c:v>
                </c:pt>
              </c:strCache>
            </c:strRef>
          </c:tx>
          <c:spPr>
            <a:ln w="28575" cap="rnd">
              <a:solidFill>
                <a:schemeClr val="accent1"/>
              </a:solidFill>
              <a:round/>
            </a:ln>
            <a:effectLst/>
          </c:spPr>
          <c:marker>
            <c:symbol val="none"/>
          </c:marker>
          <c:cat>
            <c:numRef>
              <c:f>'MAIN MODEL'!$C$9:$AB$9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'MAIN MODEL'!$C$39:$AB$39</c:f>
              <c:numCache>
                <c:formatCode>0</c:formatCode>
                <c:ptCount val="26"/>
                <c:pt idx="0">
                  <c:v>1101.0312833954288</c:v>
                </c:pt>
                <c:pt idx="1">
                  <c:v>1131.6985786952446</c:v>
                </c:pt>
                <c:pt idx="2">
                  <c:v>1167.6775519356879</c:v>
                </c:pt>
                <c:pt idx="3">
                  <c:v>1210.0273094010249</c:v>
                </c:pt>
                <c:pt idx="4">
                  <c:v>1262.5504524473079</c:v>
                </c:pt>
                <c:pt idx="5">
                  <c:v>1320.7173858558822</c:v>
                </c:pt>
                <c:pt idx="6">
                  <c:v>1390.440028617038</c:v>
                </c:pt>
                <c:pt idx="7">
                  <c:v>1479.4260228864259</c:v>
                </c:pt>
                <c:pt idx="8">
                  <c:v>1584.7868319007432</c:v>
                </c:pt>
                <c:pt idx="9">
                  <c:v>1711.3841465502394</c:v>
                </c:pt>
                <c:pt idx="10">
                  <c:v>1867.3389432186964</c:v>
                </c:pt>
                <c:pt idx="11">
                  <c:v>2050.6852498794751</c:v>
                </c:pt>
                <c:pt idx="12">
                  <c:v>2260.956180985464</c:v>
                </c:pt>
                <c:pt idx="13">
                  <c:v>2499.9194221454886</c:v>
                </c:pt>
                <c:pt idx="14">
                  <c:v>2762.7441527242322</c:v>
                </c:pt>
                <c:pt idx="15">
                  <c:v>3044.0811224197059</c:v>
                </c:pt>
                <c:pt idx="16">
                  <c:v>3341.2527856760735</c:v>
                </c:pt>
                <c:pt idx="17">
                  <c:v>3650.3542510551147</c:v>
                </c:pt>
                <c:pt idx="18">
                  <c:v>3968.2001215165574</c:v>
                </c:pt>
                <c:pt idx="19">
                  <c:v>4294.0961326863708</c:v>
                </c:pt>
                <c:pt idx="20">
                  <c:v>4627.9559152730417</c:v>
                </c:pt>
                <c:pt idx="21">
                  <c:v>4970.2472260519571</c:v>
                </c:pt>
                <c:pt idx="22">
                  <c:v>5322.4674977625255</c:v>
                </c:pt>
                <c:pt idx="23">
                  <c:v>5686.3883426948278</c:v>
                </c:pt>
                <c:pt idx="24">
                  <c:v>6063.8920798915406</c:v>
                </c:pt>
                <c:pt idx="25">
                  <c:v>6456.9622763759744</c:v>
                </c:pt>
              </c:numCache>
            </c:numRef>
          </c:val>
          <c:smooth val="0"/>
          <c:extLst>
            <c:ext xmlns:c16="http://schemas.microsoft.com/office/drawing/2014/chart" uri="{C3380CC4-5D6E-409C-BE32-E72D297353CC}">
              <c16:uniqueId val="{00000000-7603-3549-895A-3A82E337EA2A}"/>
            </c:ext>
          </c:extLst>
        </c:ser>
        <c:dLbls>
          <c:showLegendKey val="0"/>
          <c:showVal val="0"/>
          <c:showCatName val="0"/>
          <c:showSerName val="0"/>
          <c:showPercent val="0"/>
          <c:showBubbleSize val="0"/>
        </c:dLbls>
        <c:smooth val="0"/>
        <c:axId val="2043001360"/>
        <c:axId val="723428880"/>
      </c:lineChart>
      <c:catAx>
        <c:axId val="204300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23428880"/>
        <c:crosses val="autoZero"/>
        <c:auto val="1"/>
        <c:lblAlgn val="ctr"/>
        <c:lblOffset val="100"/>
        <c:noMultiLvlLbl val="0"/>
      </c:catAx>
      <c:valAx>
        <c:axId val="723428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430013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4" Type="http://schemas.openxmlformats.org/officeDocument/2006/relationships/chart" Target="../charts/chart23.xml"/></Relationships>
</file>

<file path=xl/drawings/drawing1.xml><?xml version="1.0" encoding="utf-8"?>
<xdr:wsDr xmlns:xdr="http://schemas.openxmlformats.org/drawingml/2006/spreadsheetDrawing" xmlns:a="http://schemas.openxmlformats.org/drawingml/2006/main">
  <xdr:twoCellAnchor>
    <xdr:from>
      <xdr:col>5</xdr:col>
      <xdr:colOff>248996</xdr:colOff>
      <xdr:row>38</xdr:row>
      <xdr:rowOff>169332</xdr:rowOff>
    </xdr:from>
    <xdr:to>
      <xdr:col>10</xdr:col>
      <xdr:colOff>687724</xdr:colOff>
      <xdr:row>52</xdr:row>
      <xdr:rowOff>143932</xdr:rowOff>
    </xdr:to>
    <xdr:graphicFrame macro="">
      <xdr:nvGraphicFramePr>
        <xdr:cNvPr id="2" name="Chart 1">
          <a:extLst>
            <a:ext uri="{FF2B5EF4-FFF2-40B4-BE49-F238E27FC236}">
              <a16:creationId xmlns:a16="http://schemas.microsoft.com/office/drawing/2014/main" id="{A09D84AA-73AF-D79C-380B-91FFB5F488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645777</xdr:colOff>
      <xdr:row>40</xdr:row>
      <xdr:rowOff>180880</xdr:rowOff>
    </xdr:from>
    <xdr:to>
      <xdr:col>24</xdr:col>
      <xdr:colOff>223982</xdr:colOff>
      <xdr:row>54</xdr:row>
      <xdr:rowOff>88516</xdr:rowOff>
    </xdr:to>
    <xdr:graphicFrame macro="">
      <xdr:nvGraphicFramePr>
        <xdr:cNvPr id="2" name="Chart 1">
          <a:extLst>
            <a:ext uri="{FF2B5EF4-FFF2-40B4-BE49-F238E27FC236}">
              <a16:creationId xmlns:a16="http://schemas.microsoft.com/office/drawing/2014/main" id="{927F794B-3F02-3C97-79B6-97D0ADCEC9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507999</xdr:colOff>
      <xdr:row>41</xdr:row>
      <xdr:rowOff>20012</xdr:rowOff>
    </xdr:from>
    <xdr:to>
      <xdr:col>12</xdr:col>
      <xdr:colOff>86206</xdr:colOff>
      <xdr:row>54</xdr:row>
      <xdr:rowOff>121612</xdr:rowOff>
    </xdr:to>
    <xdr:graphicFrame macro="">
      <xdr:nvGraphicFramePr>
        <xdr:cNvPr id="3" name="Chart 2">
          <a:extLst>
            <a:ext uri="{FF2B5EF4-FFF2-40B4-BE49-F238E27FC236}">
              <a16:creationId xmlns:a16="http://schemas.microsoft.com/office/drawing/2014/main" id="{558FB93F-FAFB-73E7-BDD0-895C5D99CB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558030</xdr:colOff>
      <xdr:row>40</xdr:row>
      <xdr:rowOff>182419</xdr:rowOff>
    </xdr:from>
    <xdr:to>
      <xdr:col>18</xdr:col>
      <xdr:colOff>136236</xdr:colOff>
      <xdr:row>54</xdr:row>
      <xdr:rowOff>80819</xdr:rowOff>
    </xdr:to>
    <xdr:graphicFrame macro="">
      <xdr:nvGraphicFramePr>
        <xdr:cNvPr id="4" name="Chart 3">
          <a:extLst>
            <a:ext uri="{FF2B5EF4-FFF2-40B4-BE49-F238E27FC236}">
              <a16:creationId xmlns:a16="http://schemas.microsoft.com/office/drawing/2014/main" id="{6ED94336-51E1-C6FB-B5A2-16602C4085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43873</xdr:colOff>
      <xdr:row>41</xdr:row>
      <xdr:rowOff>769</xdr:rowOff>
    </xdr:from>
    <xdr:to>
      <xdr:col>6</xdr:col>
      <xdr:colOff>39254</xdr:colOff>
      <xdr:row>54</xdr:row>
      <xdr:rowOff>93133</xdr:rowOff>
    </xdr:to>
    <xdr:graphicFrame macro="">
      <xdr:nvGraphicFramePr>
        <xdr:cNvPr id="5" name="Chart 4">
          <a:extLst>
            <a:ext uri="{FF2B5EF4-FFF2-40B4-BE49-F238E27FC236}">
              <a16:creationId xmlns:a16="http://schemas.microsoft.com/office/drawing/2014/main" id="{3A133B32-6977-350D-B571-98FB687E29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835025</xdr:colOff>
      <xdr:row>10</xdr:row>
      <xdr:rowOff>184150</xdr:rowOff>
    </xdr:from>
    <xdr:to>
      <xdr:col>7</xdr:col>
      <xdr:colOff>441325</xdr:colOff>
      <xdr:row>24</xdr:row>
      <xdr:rowOff>85725</xdr:rowOff>
    </xdr:to>
    <xdr:graphicFrame macro="">
      <xdr:nvGraphicFramePr>
        <xdr:cNvPr id="2" name="Chart 1">
          <a:extLst>
            <a:ext uri="{FF2B5EF4-FFF2-40B4-BE49-F238E27FC236}">
              <a16:creationId xmlns:a16="http://schemas.microsoft.com/office/drawing/2014/main" id="{4660DA38-7BA9-124A-9879-83279236F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552450</xdr:colOff>
      <xdr:row>2</xdr:row>
      <xdr:rowOff>19050</xdr:rowOff>
    </xdr:from>
    <xdr:to>
      <xdr:col>16</xdr:col>
      <xdr:colOff>158750</xdr:colOff>
      <xdr:row>15</xdr:row>
      <xdr:rowOff>120650</xdr:rowOff>
    </xdr:to>
    <xdr:graphicFrame macro="">
      <xdr:nvGraphicFramePr>
        <xdr:cNvPr id="3" name="Chart 2">
          <a:extLst>
            <a:ext uri="{FF2B5EF4-FFF2-40B4-BE49-F238E27FC236}">
              <a16:creationId xmlns:a16="http://schemas.microsoft.com/office/drawing/2014/main" id="{FB91C7A7-2229-A346-AF4F-A24D766A32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807720</xdr:colOff>
      <xdr:row>24</xdr:row>
      <xdr:rowOff>149014</xdr:rowOff>
    </xdr:from>
    <xdr:to>
      <xdr:col>7</xdr:col>
      <xdr:colOff>392854</xdr:colOff>
      <xdr:row>38</xdr:row>
      <xdr:rowOff>52494</xdr:rowOff>
    </xdr:to>
    <xdr:graphicFrame macro="">
      <xdr:nvGraphicFramePr>
        <xdr:cNvPr id="4" name="Chart 3">
          <a:extLst>
            <a:ext uri="{FF2B5EF4-FFF2-40B4-BE49-F238E27FC236}">
              <a16:creationId xmlns:a16="http://schemas.microsoft.com/office/drawing/2014/main" id="{07558717-D4CE-2045-97B8-A211F7718A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533400</xdr:colOff>
      <xdr:row>16</xdr:row>
      <xdr:rowOff>76200</xdr:rowOff>
    </xdr:from>
    <xdr:to>
      <xdr:col>16</xdr:col>
      <xdr:colOff>118533</xdr:colOff>
      <xdr:row>29</xdr:row>
      <xdr:rowOff>177800</xdr:rowOff>
    </xdr:to>
    <xdr:graphicFrame macro="">
      <xdr:nvGraphicFramePr>
        <xdr:cNvPr id="5" name="Chart 4">
          <a:extLst>
            <a:ext uri="{FF2B5EF4-FFF2-40B4-BE49-F238E27FC236}">
              <a16:creationId xmlns:a16="http://schemas.microsoft.com/office/drawing/2014/main" id="{16E49EA1-5437-7044-8896-2B7BF96DF5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476250</xdr:colOff>
      <xdr:row>31</xdr:row>
      <xdr:rowOff>73716</xdr:rowOff>
    </xdr:from>
    <xdr:to>
      <xdr:col>16</xdr:col>
      <xdr:colOff>58069</xdr:colOff>
      <xdr:row>44</xdr:row>
      <xdr:rowOff>175316</xdr:rowOff>
    </xdr:to>
    <xdr:graphicFrame macro="">
      <xdr:nvGraphicFramePr>
        <xdr:cNvPr id="6" name="Chart 5">
          <a:extLst>
            <a:ext uri="{FF2B5EF4-FFF2-40B4-BE49-F238E27FC236}">
              <a16:creationId xmlns:a16="http://schemas.microsoft.com/office/drawing/2014/main" id="{CBEBB038-6769-5645-917E-A4D5C2190A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781050</xdr:colOff>
      <xdr:row>39</xdr:row>
      <xdr:rowOff>57150</xdr:rowOff>
    </xdr:from>
    <xdr:to>
      <xdr:col>7</xdr:col>
      <xdr:colOff>366183</xdr:colOff>
      <xdr:row>52</xdr:row>
      <xdr:rowOff>158750</xdr:rowOff>
    </xdr:to>
    <xdr:graphicFrame macro="">
      <xdr:nvGraphicFramePr>
        <xdr:cNvPr id="7" name="Chart 6">
          <a:extLst>
            <a:ext uri="{FF2B5EF4-FFF2-40B4-BE49-F238E27FC236}">
              <a16:creationId xmlns:a16="http://schemas.microsoft.com/office/drawing/2014/main" id="{2F5D08E8-D3B4-3146-BF72-DE5711BFD0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476250</xdr:colOff>
      <xdr:row>46</xdr:row>
      <xdr:rowOff>95250</xdr:rowOff>
    </xdr:from>
    <xdr:to>
      <xdr:col>16</xdr:col>
      <xdr:colOff>61384</xdr:colOff>
      <xdr:row>60</xdr:row>
      <xdr:rowOff>6350</xdr:rowOff>
    </xdr:to>
    <xdr:graphicFrame macro="">
      <xdr:nvGraphicFramePr>
        <xdr:cNvPr id="8" name="Chart 7">
          <a:extLst>
            <a:ext uri="{FF2B5EF4-FFF2-40B4-BE49-F238E27FC236}">
              <a16:creationId xmlns:a16="http://schemas.microsoft.com/office/drawing/2014/main" id="{C7454A13-6D9B-4B49-BCC3-D404706144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47723</xdr:colOff>
      <xdr:row>81</xdr:row>
      <xdr:rowOff>68501</xdr:rowOff>
    </xdr:from>
    <xdr:to>
      <xdr:col>4</xdr:col>
      <xdr:colOff>831274</xdr:colOff>
      <xdr:row>94</xdr:row>
      <xdr:rowOff>160865</xdr:rowOff>
    </xdr:to>
    <xdr:graphicFrame macro="">
      <xdr:nvGraphicFramePr>
        <xdr:cNvPr id="2" name="Chart 1">
          <a:extLst>
            <a:ext uri="{FF2B5EF4-FFF2-40B4-BE49-F238E27FC236}">
              <a16:creationId xmlns:a16="http://schemas.microsoft.com/office/drawing/2014/main" id="{92ADA86F-D377-B2DD-090C-72041529C2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531092</xdr:colOff>
      <xdr:row>81</xdr:row>
      <xdr:rowOff>177030</xdr:rowOff>
    </xdr:from>
    <xdr:to>
      <xdr:col>23</xdr:col>
      <xdr:colOff>124691</xdr:colOff>
      <xdr:row>95</xdr:row>
      <xdr:rowOff>75431</xdr:rowOff>
    </xdr:to>
    <xdr:graphicFrame macro="">
      <xdr:nvGraphicFramePr>
        <xdr:cNvPr id="3" name="Chart 2">
          <a:extLst>
            <a:ext uri="{FF2B5EF4-FFF2-40B4-BE49-F238E27FC236}">
              <a16:creationId xmlns:a16="http://schemas.microsoft.com/office/drawing/2014/main" id="{0E55C322-802C-1B42-38BD-D63F167801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364067</xdr:colOff>
      <xdr:row>81</xdr:row>
      <xdr:rowOff>75430</xdr:rowOff>
    </xdr:from>
    <xdr:to>
      <xdr:col>16</xdr:col>
      <xdr:colOff>802793</xdr:colOff>
      <xdr:row>96</xdr:row>
      <xdr:rowOff>167794</xdr:rowOff>
    </xdr:to>
    <xdr:graphicFrame macro="">
      <xdr:nvGraphicFramePr>
        <xdr:cNvPr id="4" name="Chart 3">
          <a:extLst>
            <a:ext uri="{FF2B5EF4-FFF2-40B4-BE49-F238E27FC236}">
              <a16:creationId xmlns:a16="http://schemas.microsoft.com/office/drawing/2014/main" id="{2AA5DB5C-2A9D-6C48-385B-45CED3907E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431800</xdr:colOff>
      <xdr:row>81</xdr:row>
      <xdr:rowOff>123536</xdr:rowOff>
    </xdr:from>
    <xdr:to>
      <xdr:col>11</xdr:col>
      <xdr:colOff>25400</xdr:colOff>
      <xdr:row>95</xdr:row>
      <xdr:rowOff>21937</xdr:rowOff>
    </xdr:to>
    <xdr:graphicFrame macro="">
      <xdr:nvGraphicFramePr>
        <xdr:cNvPr id="5" name="Chart 4">
          <a:extLst>
            <a:ext uri="{FF2B5EF4-FFF2-40B4-BE49-F238E27FC236}">
              <a16:creationId xmlns:a16="http://schemas.microsoft.com/office/drawing/2014/main" id="{936398CF-5359-7DAE-5F5C-430402D080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170544</xdr:colOff>
      <xdr:row>11</xdr:row>
      <xdr:rowOff>140305</xdr:rowOff>
    </xdr:from>
    <xdr:to>
      <xdr:col>7</xdr:col>
      <xdr:colOff>515258</xdr:colOff>
      <xdr:row>25</xdr:row>
      <xdr:rowOff>38705</xdr:rowOff>
    </xdr:to>
    <xdr:graphicFrame macro="">
      <xdr:nvGraphicFramePr>
        <xdr:cNvPr id="2" name="Chart 1">
          <a:extLst>
            <a:ext uri="{FF2B5EF4-FFF2-40B4-BE49-F238E27FC236}">
              <a16:creationId xmlns:a16="http://schemas.microsoft.com/office/drawing/2014/main" id="{DC75E40B-7FD3-3D0C-246F-4A83980B0F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19352</xdr:colOff>
      <xdr:row>25</xdr:row>
      <xdr:rowOff>178404</xdr:rowOff>
    </xdr:from>
    <xdr:to>
      <xdr:col>6</xdr:col>
      <xdr:colOff>344715</xdr:colOff>
      <xdr:row>40</xdr:row>
      <xdr:rowOff>7862</xdr:rowOff>
    </xdr:to>
    <xdr:graphicFrame macro="">
      <xdr:nvGraphicFramePr>
        <xdr:cNvPr id="2" name="Chart 1">
          <a:extLst>
            <a:ext uri="{FF2B5EF4-FFF2-40B4-BE49-F238E27FC236}">
              <a16:creationId xmlns:a16="http://schemas.microsoft.com/office/drawing/2014/main" id="{EF718BFE-44E6-0C40-93F3-A279E46B65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25883</xdr:colOff>
      <xdr:row>26</xdr:row>
      <xdr:rowOff>36044</xdr:rowOff>
    </xdr:from>
    <xdr:to>
      <xdr:col>12</xdr:col>
      <xdr:colOff>406884</xdr:colOff>
      <xdr:row>38</xdr:row>
      <xdr:rowOff>147320</xdr:rowOff>
    </xdr:to>
    <xdr:graphicFrame macro="">
      <xdr:nvGraphicFramePr>
        <xdr:cNvPr id="3" name="Chart 2">
          <a:extLst>
            <a:ext uri="{FF2B5EF4-FFF2-40B4-BE49-F238E27FC236}">
              <a16:creationId xmlns:a16="http://schemas.microsoft.com/office/drawing/2014/main" id="{03A43D43-6857-4425-ACAC-10174CD662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214086</xdr:colOff>
      <xdr:row>8</xdr:row>
      <xdr:rowOff>12701</xdr:rowOff>
    </xdr:from>
    <xdr:to>
      <xdr:col>5</xdr:col>
      <xdr:colOff>645886</xdr:colOff>
      <xdr:row>21</xdr:row>
      <xdr:rowOff>107044</xdr:rowOff>
    </xdr:to>
    <xdr:graphicFrame macro="">
      <xdr:nvGraphicFramePr>
        <xdr:cNvPr id="2" name="Chart 1">
          <a:extLst>
            <a:ext uri="{FF2B5EF4-FFF2-40B4-BE49-F238E27FC236}">
              <a16:creationId xmlns:a16="http://schemas.microsoft.com/office/drawing/2014/main" id="{E5C3776C-C13C-12B0-BB67-DC8741DBDE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173445</xdr:colOff>
      <xdr:row>8</xdr:row>
      <xdr:rowOff>7620</xdr:rowOff>
    </xdr:from>
    <xdr:to>
      <xdr:col>11</xdr:col>
      <xdr:colOff>605245</xdr:colOff>
      <xdr:row>21</xdr:row>
      <xdr:rowOff>101963</xdr:rowOff>
    </xdr:to>
    <xdr:graphicFrame macro="">
      <xdr:nvGraphicFramePr>
        <xdr:cNvPr id="3" name="Chart 2">
          <a:extLst>
            <a:ext uri="{FF2B5EF4-FFF2-40B4-BE49-F238E27FC236}">
              <a16:creationId xmlns:a16="http://schemas.microsoft.com/office/drawing/2014/main" id="{6BE5FF42-0E89-0DB2-41C0-D91586814F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241663</xdr:colOff>
      <xdr:row>7</xdr:row>
      <xdr:rowOff>174534</xdr:rowOff>
    </xdr:from>
    <xdr:to>
      <xdr:col>23</xdr:col>
      <xdr:colOff>673463</xdr:colOff>
      <xdr:row>21</xdr:row>
      <xdr:rowOff>72934</xdr:rowOff>
    </xdr:to>
    <xdr:graphicFrame macro="">
      <xdr:nvGraphicFramePr>
        <xdr:cNvPr id="4" name="Chart 3">
          <a:extLst>
            <a:ext uri="{FF2B5EF4-FFF2-40B4-BE49-F238E27FC236}">
              <a16:creationId xmlns:a16="http://schemas.microsoft.com/office/drawing/2014/main" id="{E4656F22-9BD3-2046-3279-85FE2E6306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211908</xdr:colOff>
      <xdr:row>8</xdr:row>
      <xdr:rowOff>13426</xdr:rowOff>
    </xdr:from>
    <xdr:to>
      <xdr:col>17</xdr:col>
      <xdr:colOff>643708</xdr:colOff>
      <xdr:row>21</xdr:row>
      <xdr:rowOff>109946</xdr:rowOff>
    </xdr:to>
    <xdr:graphicFrame macro="">
      <xdr:nvGraphicFramePr>
        <xdr:cNvPr id="5" name="Chart 4">
          <a:extLst>
            <a:ext uri="{FF2B5EF4-FFF2-40B4-BE49-F238E27FC236}">
              <a16:creationId xmlns:a16="http://schemas.microsoft.com/office/drawing/2014/main" id="{C5832FC7-309F-3446-31B0-722CF04E6B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929B8-47CF-F74E-A675-B958120EE0CC}">
  <dimension ref="B3:AB50"/>
  <sheetViews>
    <sheetView zoomScale="55" zoomScaleNormal="55" workbookViewId="0">
      <selection activeCell="R44" sqref="R44"/>
    </sheetView>
  </sheetViews>
  <sheetFormatPr baseColWidth="10" defaultColWidth="11" defaultRowHeight="15.6" x14ac:dyDescent="0.3"/>
  <cols>
    <col min="2" max="2" width="25.8984375" customWidth="1"/>
  </cols>
  <sheetData>
    <row r="3" spans="2:28" ht="18" x14ac:dyDescent="0.35">
      <c r="B3" s="2" t="s">
        <v>8</v>
      </c>
    </row>
    <row r="5" spans="2:28" x14ac:dyDescent="0.3">
      <c r="B5" t="s">
        <v>25</v>
      </c>
      <c r="C5" s="18">
        <v>0.08</v>
      </c>
    </row>
    <row r="6" spans="2:28" x14ac:dyDescent="0.3">
      <c r="B6" t="s">
        <v>10</v>
      </c>
      <c r="C6" s="11">
        <v>0.16</v>
      </c>
    </row>
    <row r="7" spans="2:28" x14ac:dyDescent="0.3">
      <c r="B7" t="s">
        <v>45</v>
      </c>
      <c r="C7" s="11">
        <v>0.1</v>
      </c>
    </row>
    <row r="8" spans="2:28" x14ac:dyDescent="0.3">
      <c r="B8" t="s">
        <v>48</v>
      </c>
      <c r="C8" s="11">
        <v>2</v>
      </c>
    </row>
    <row r="9" spans="2:28" x14ac:dyDescent="0.3">
      <c r="C9" s="11"/>
    </row>
    <row r="10" spans="2:28" x14ac:dyDescent="0.3">
      <c r="B10" t="s">
        <v>44</v>
      </c>
      <c r="C10" s="12">
        <f>C6</f>
        <v>0.16</v>
      </c>
      <c r="D10" s="1">
        <f>$C10*EXP($C14*(D16-$C16))</f>
        <v>0.15562479158596568</v>
      </c>
      <c r="E10" s="1">
        <f t="shared" ref="E10:AB10" si="0">$C10*EXP($C14*(E16-$C16))</f>
        <v>0.15136922347609535</v>
      </c>
      <c r="F10" s="1">
        <f t="shared" si="0"/>
        <v>0.14723002409998001</v>
      </c>
      <c r="G10" s="1">
        <f t="shared" si="0"/>
        <v>0.1432040113484756</v>
      </c>
      <c r="H10" s="1">
        <f t="shared" si="0"/>
        <v>0.13928809012737986</v>
      </c>
      <c r="I10" s="1">
        <f t="shared" si="0"/>
        <v>0.13547924997800434</v>
      </c>
      <c r="J10" s="1">
        <f t="shared" si="0"/>
        <v>0.13177456276281169</v>
      </c>
      <c r="K10" s="1">
        <f t="shared" si="0"/>
        <v>0.12817118041433953</v>
      </c>
      <c r="L10" s="1">
        <f t="shared" si="0"/>
        <v>0.12466633274567997</v>
      </c>
      <c r="M10" s="1">
        <f t="shared" si="0"/>
        <v>0.12125732532083185</v>
      </c>
      <c r="N10" s="1">
        <f t="shared" si="0"/>
        <v>0.11794153738328809</v>
      </c>
      <c r="O10" s="1">
        <f t="shared" si="0"/>
        <v>0.11471641984126618</v>
      </c>
      <c r="P10" s="1">
        <f t="shared" si="0"/>
        <v>0.11157949330803243</v>
      </c>
      <c r="Q10" s="1">
        <f t="shared" si="0"/>
        <v>0.10852834619581377</v>
      </c>
      <c r="R10" s="1">
        <f t="shared" si="0"/>
        <v>0.10556063286183154</v>
      </c>
      <c r="S10" s="1">
        <f t="shared" si="0"/>
        <v>0.10267407180503234</v>
      </c>
      <c r="T10" s="1">
        <f t="shared" si="0"/>
        <v>9.9866443912128955E-2</v>
      </c>
      <c r="U10" s="1">
        <f t="shared" si="0"/>
        <v>9.7135590751603745E-2</v>
      </c>
      <c r="V10" s="1">
        <f t="shared" si="0"/>
        <v>9.4479412914362432E-2</v>
      </c>
      <c r="W10" s="1">
        <f t="shared" si="0"/>
        <v>9.1895868399762798E-2</v>
      </c>
      <c r="X10" s="1">
        <f t="shared" si="0"/>
        <v>8.9382971045777609E-2</v>
      </c>
      <c r="Y10" s="1">
        <f t="shared" si="0"/>
        <v>8.6938789002084654E-2</v>
      </c>
      <c r="Z10" s="1">
        <f t="shared" si="0"/>
        <v>8.4561443244910425E-2</v>
      </c>
      <c r="AA10" s="1">
        <f t="shared" si="0"/>
        <v>8.2249106132485331E-2</v>
      </c>
      <c r="AB10" s="1">
        <f t="shared" si="0"/>
        <v>0.08</v>
      </c>
    </row>
    <row r="11" spans="2:28" x14ac:dyDescent="0.3">
      <c r="B11" t="s">
        <v>47</v>
      </c>
      <c r="C11" s="12">
        <f>C10*$C8</f>
        <v>0.32</v>
      </c>
      <c r="D11" s="13">
        <f>(D10*(1+C36))*$C8</f>
        <v>0.35793702064772104</v>
      </c>
      <c r="E11" s="13">
        <f t="shared" ref="E11:AB11" si="1">(E10*(1+D36))*$C8</f>
        <v>0.36328613634262885</v>
      </c>
      <c r="F11" s="13">
        <f t="shared" si="1"/>
        <v>0.33952963405725894</v>
      </c>
      <c r="G11" s="13">
        <f t="shared" si="1"/>
        <v>0.30821310838958987</v>
      </c>
      <c r="H11" s="13">
        <f t="shared" si="1"/>
        <v>0.29863235477279065</v>
      </c>
      <c r="I11" s="13">
        <f t="shared" si="1"/>
        <v>0.289411059211237</v>
      </c>
      <c r="J11" s="13">
        <f t="shared" si="1"/>
        <v>0.27644889929177335</v>
      </c>
      <c r="K11" s="13">
        <f t="shared" si="1"/>
        <v>0.26786339306556062</v>
      </c>
      <c r="L11" s="13">
        <f t="shared" si="1"/>
        <v>0.26048236333552144</v>
      </c>
      <c r="M11" s="13">
        <f t="shared" si="1"/>
        <v>0.25200432982656107</v>
      </c>
      <c r="N11" s="13">
        <f t="shared" si="1"/>
        <v>0.24433826605592987</v>
      </c>
      <c r="O11" s="13">
        <f t="shared" si="1"/>
        <v>0.23730200883634542</v>
      </c>
      <c r="P11" s="13">
        <f t="shared" si="1"/>
        <v>0.23014012948289905</v>
      </c>
      <c r="Q11" s="13">
        <f t="shared" si="1"/>
        <v>0.22321467587848709</v>
      </c>
      <c r="R11" s="13">
        <f t="shared" si="1"/>
        <v>0.21663068200450492</v>
      </c>
      <c r="S11" s="13">
        <f t="shared" si="1"/>
        <v>0.21020240388102876</v>
      </c>
      <c r="T11" s="13">
        <f t="shared" si="1"/>
        <v>0.20398125119226565</v>
      </c>
      <c r="U11" s="13">
        <f t="shared" si="1"/>
        <v>0.19801869082241552</v>
      </c>
      <c r="V11" s="13">
        <f t="shared" si="1"/>
        <v>0.19227063813299433</v>
      </c>
      <c r="W11" s="13">
        <f t="shared" si="1"/>
        <v>0.18673017748673254</v>
      </c>
      <c r="X11" s="13">
        <f t="shared" si="1"/>
        <v>0.18140114385891701</v>
      </c>
      <c r="Y11" s="13">
        <f t="shared" si="1"/>
        <v>0.17626362717838731</v>
      </c>
      <c r="Z11" s="13">
        <f t="shared" si="1"/>
        <v>0.1713031273115363</v>
      </c>
      <c r="AA11" s="13">
        <f t="shared" si="1"/>
        <v>0.16650932241147082</v>
      </c>
      <c r="AB11" s="13">
        <f t="shared" si="1"/>
        <v>0.16187142834717091</v>
      </c>
    </row>
    <row r="12" spans="2:28" x14ac:dyDescent="0.3">
      <c r="B12" t="s">
        <v>49</v>
      </c>
      <c r="C12" s="12">
        <v>1</v>
      </c>
      <c r="D12" s="1">
        <f>C12</f>
        <v>1</v>
      </c>
      <c r="E12" s="1">
        <f t="shared" ref="E12:AB12" si="2">D12</f>
        <v>1</v>
      </c>
      <c r="F12" s="1">
        <f t="shared" si="2"/>
        <v>1</v>
      </c>
      <c r="G12" s="1">
        <f t="shared" si="2"/>
        <v>1</v>
      </c>
      <c r="H12" s="1">
        <f t="shared" si="2"/>
        <v>1</v>
      </c>
      <c r="I12" s="1">
        <f t="shared" si="2"/>
        <v>1</v>
      </c>
      <c r="J12" s="1">
        <f t="shared" si="2"/>
        <v>1</v>
      </c>
      <c r="K12" s="1">
        <f t="shared" si="2"/>
        <v>1</v>
      </c>
      <c r="L12" s="1">
        <f t="shared" si="2"/>
        <v>1</v>
      </c>
      <c r="M12" s="1">
        <f t="shared" si="2"/>
        <v>1</v>
      </c>
      <c r="N12" s="1">
        <f t="shared" si="2"/>
        <v>1</v>
      </c>
      <c r="O12" s="1">
        <f t="shared" si="2"/>
        <v>1</v>
      </c>
      <c r="P12" s="1">
        <f t="shared" si="2"/>
        <v>1</v>
      </c>
      <c r="Q12" s="1">
        <f t="shared" si="2"/>
        <v>1</v>
      </c>
      <c r="R12" s="1">
        <f t="shared" si="2"/>
        <v>1</v>
      </c>
      <c r="S12" s="1">
        <f t="shared" si="2"/>
        <v>1</v>
      </c>
      <c r="T12" s="1">
        <f t="shared" si="2"/>
        <v>1</v>
      </c>
      <c r="U12" s="1">
        <f t="shared" si="2"/>
        <v>1</v>
      </c>
      <c r="V12" s="1">
        <f t="shared" si="2"/>
        <v>1</v>
      </c>
      <c r="W12" s="1">
        <f t="shared" si="2"/>
        <v>1</v>
      </c>
      <c r="X12" s="1">
        <f t="shared" si="2"/>
        <v>1</v>
      </c>
      <c r="Y12" s="1">
        <f t="shared" si="2"/>
        <v>1</v>
      </c>
      <c r="Z12" s="1">
        <f t="shared" si="2"/>
        <v>1</v>
      </c>
      <c r="AA12" s="1">
        <f t="shared" si="2"/>
        <v>1</v>
      </c>
      <c r="AB12" s="1">
        <f t="shared" si="2"/>
        <v>1</v>
      </c>
    </row>
    <row r="14" spans="2:28" x14ac:dyDescent="0.3">
      <c r="B14" t="s">
        <v>9</v>
      </c>
      <c r="C14">
        <f>LN(C5/C6)/(AB16-C16)</f>
        <v>-2.7725887222397813E-2</v>
      </c>
    </row>
    <row r="16" spans="2:28" x14ac:dyDescent="0.3">
      <c r="B16" t="s">
        <v>6</v>
      </c>
      <c r="C16">
        <v>2025</v>
      </c>
      <c r="D16">
        <f>C16+1</f>
        <v>2026</v>
      </c>
      <c r="E16">
        <f t="shared" ref="E16:AB16" si="3">D16+1</f>
        <v>2027</v>
      </c>
      <c r="F16">
        <f t="shared" si="3"/>
        <v>2028</v>
      </c>
      <c r="G16">
        <f t="shared" si="3"/>
        <v>2029</v>
      </c>
      <c r="H16">
        <f t="shared" si="3"/>
        <v>2030</v>
      </c>
      <c r="I16">
        <f t="shared" si="3"/>
        <v>2031</v>
      </c>
      <c r="J16">
        <f t="shared" si="3"/>
        <v>2032</v>
      </c>
      <c r="K16">
        <f t="shared" si="3"/>
        <v>2033</v>
      </c>
      <c r="L16">
        <f t="shared" si="3"/>
        <v>2034</v>
      </c>
      <c r="M16">
        <f t="shared" si="3"/>
        <v>2035</v>
      </c>
      <c r="N16">
        <f t="shared" si="3"/>
        <v>2036</v>
      </c>
      <c r="O16">
        <f t="shared" si="3"/>
        <v>2037</v>
      </c>
      <c r="P16">
        <f t="shared" si="3"/>
        <v>2038</v>
      </c>
      <c r="Q16">
        <f t="shared" si="3"/>
        <v>2039</v>
      </c>
      <c r="R16">
        <f t="shared" si="3"/>
        <v>2040</v>
      </c>
      <c r="S16">
        <f t="shared" si="3"/>
        <v>2041</v>
      </c>
      <c r="T16">
        <f t="shared" si="3"/>
        <v>2042</v>
      </c>
      <c r="U16">
        <f t="shared" si="3"/>
        <v>2043</v>
      </c>
      <c r="V16">
        <f t="shared" si="3"/>
        <v>2044</v>
      </c>
      <c r="W16">
        <f t="shared" si="3"/>
        <v>2045</v>
      </c>
      <c r="X16">
        <f t="shared" si="3"/>
        <v>2046</v>
      </c>
      <c r="Y16">
        <f t="shared" si="3"/>
        <v>2047</v>
      </c>
      <c r="Z16">
        <f t="shared" si="3"/>
        <v>2048</v>
      </c>
      <c r="AA16">
        <f t="shared" si="3"/>
        <v>2049</v>
      </c>
      <c r="AB16">
        <f t="shared" si="3"/>
        <v>2050</v>
      </c>
    </row>
    <row r="17" spans="2:28" x14ac:dyDescent="0.3">
      <c r="B17" t="s">
        <v>46</v>
      </c>
      <c r="C17">
        <f>H17/100</f>
        <v>0.01</v>
      </c>
      <c r="E17" t="s">
        <v>146</v>
      </c>
      <c r="H17" s="19">
        <v>1</v>
      </c>
    </row>
    <row r="18" spans="2:28" x14ac:dyDescent="0.3">
      <c r="B18" t="s">
        <v>136</v>
      </c>
      <c r="C18" s="19">
        <v>1.5</v>
      </c>
      <c r="D18" s="1">
        <f>C18*EXP($C17)</f>
        <v>1.5150752506262519</v>
      </c>
      <c r="E18" s="1">
        <f t="shared" ref="E18" si="4">D18*EXP($C17)</f>
        <v>1.5303020100401334</v>
      </c>
      <c r="F18" s="1">
        <f t="shared" ref="F18" si="5">E18*EXP($C17)</f>
        <v>1.5456818009302749</v>
      </c>
      <c r="G18" s="1">
        <f t="shared" ref="G18" si="6">F18*EXP($C17)</f>
        <v>1.5612161612885818</v>
      </c>
      <c r="H18" s="1">
        <f t="shared" ref="H18" si="7">G18*EXP($C17)</f>
        <v>1.5769066445640354</v>
      </c>
      <c r="I18" s="1">
        <f t="shared" ref="I18" si="8">H18*EXP($C17)</f>
        <v>1.5927548198180386</v>
      </c>
      <c r="J18" s="1">
        <f t="shared" ref="J18" si="9">I18*EXP($C17)</f>
        <v>1.6087622718813237</v>
      </c>
      <c r="K18" s="1">
        <f t="shared" ref="K18" si="10">J18*EXP($C17)</f>
        <v>1.6249306015124367</v>
      </c>
      <c r="L18" s="1">
        <f t="shared" ref="L18" si="11">K18*EXP($C17)</f>
        <v>1.6412614255578142</v>
      </c>
      <c r="M18" s="1">
        <f t="shared" ref="M18" si="12">L18*EXP($C17)</f>
        <v>1.6577563771134698</v>
      </c>
      <c r="N18" s="1">
        <f t="shared" ref="N18" si="13">M18*EXP($C17)</f>
        <v>1.674417105688305</v>
      </c>
      <c r="O18" s="1">
        <f t="shared" ref="O18" si="14">N18*EXP($C17)</f>
        <v>1.6912452773690614</v>
      </c>
      <c r="P18" s="1">
        <f t="shared" ref="P18" si="15">O18*EXP($C17)</f>
        <v>1.7082425749869303</v>
      </c>
      <c r="Q18" s="1">
        <f t="shared" ref="Q18" si="16">P18*EXP($C17)</f>
        <v>1.7254106982858384</v>
      </c>
      <c r="R18" s="1">
        <f t="shared" ref="R18" si="17">Q18*EXP($C17)</f>
        <v>1.7427513640924219</v>
      </c>
      <c r="S18" s="1">
        <f t="shared" ref="S18" si="18">R18*EXP($C17)</f>
        <v>1.7602663064877124</v>
      </c>
      <c r="T18" s="1">
        <f t="shared" ref="T18" si="19">S18*EXP($C17)</f>
        <v>1.7779572769805452</v>
      </c>
      <c r="U18" s="1">
        <f t="shared" ref="U18" si="20">T18*EXP($C17)</f>
        <v>1.7958260446827119</v>
      </c>
      <c r="V18" s="1">
        <f t="shared" ref="V18" si="21">U18*EXP($C17)</f>
        <v>1.8138743964858737</v>
      </c>
      <c r="W18" s="1">
        <f t="shared" ref="W18" si="22">V18*EXP($C17)</f>
        <v>1.8321041372402509</v>
      </c>
      <c r="X18" s="1">
        <f t="shared" ref="X18" si="23">W18*EXP($C17)</f>
        <v>1.8505170899351109</v>
      </c>
      <c r="Y18" s="1">
        <f t="shared" ref="Y18" si="24">X18*EXP($C17)</f>
        <v>1.8691150958810669</v>
      </c>
      <c r="Z18" s="1">
        <f t="shared" ref="Z18" si="25">Y18*EXP($C17)</f>
        <v>1.8879000148942122</v>
      </c>
      <c r="AA18" s="1">
        <f t="shared" ref="AA18" si="26">Z18*EXP($C17)</f>
        <v>1.9068737254821022</v>
      </c>
      <c r="AB18" s="1">
        <f t="shared" ref="AB18" si="27">AA18*EXP($C17)</f>
        <v>1.9260381250316072</v>
      </c>
    </row>
    <row r="19" spans="2:28" x14ac:dyDescent="0.3">
      <c r="B19" t="s">
        <v>1</v>
      </c>
      <c r="C19">
        <v>0.6</v>
      </c>
      <c r="D19">
        <f>C19</f>
        <v>0.6</v>
      </c>
      <c r="E19">
        <f t="shared" ref="E19:AB20" si="28">D19</f>
        <v>0.6</v>
      </c>
      <c r="F19">
        <f t="shared" si="28"/>
        <v>0.6</v>
      </c>
      <c r="G19">
        <f t="shared" si="28"/>
        <v>0.6</v>
      </c>
      <c r="H19">
        <f t="shared" si="28"/>
        <v>0.6</v>
      </c>
      <c r="I19">
        <f t="shared" si="28"/>
        <v>0.6</v>
      </c>
      <c r="J19">
        <f t="shared" si="28"/>
        <v>0.6</v>
      </c>
      <c r="K19">
        <f t="shared" si="28"/>
        <v>0.6</v>
      </c>
      <c r="L19">
        <f t="shared" si="28"/>
        <v>0.6</v>
      </c>
      <c r="M19">
        <f t="shared" si="28"/>
        <v>0.6</v>
      </c>
      <c r="N19">
        <f t="shared" si="28"/>
        <v>0.6</v>
      </c>
      <c r="O19">
        <f t="shared" si="28"/>
        <v>0.6</v>
      </c>
      <c r="P19">
        <f t="shared" si="28"/>
        <v>0.6</v>
      </c>
      <c r="Q19">
        <f t="shared" si="28"/>
        <v>0.6</v>
      </c>
      <c r="R19">
        <f t="shared" si="28"/>
        <v>0.6</v>
      </c>
      <c r="S19">
        <f t="shared" si="28"/>
        <v>0.6</v>
      </c>
      <c r="T19">
        <f t="shared" si="28"/>
        <v>0.6</v>
      </c>
      <c r="U19">
        <f t="shared" si="28"/>
        <v>0.6</v>
      </c>
      <c r="V19">
        <f t="shared" si="28"/>
        <v>0.6</v>
      </c>
      <c r="W19">
        <f t="shared" si="28"/>
        <v>0.6</v>
      </c>
      <c r="X19">
        <f t="shared" si="28"/>
        <v>0.6</v>
      </c>
      <c r="Y19">
        <f t="shared" si="28"/>
        <v>0.6</v>
      </c>
      <c r="Z19">
        <f t="shared" si="28"/>
        <v>0.6</v>
      </c>
      <c r="AA19">
        <f t="shared" si="28"/>
        <v>0.6</v>
      </c>
      <c r="AB19">
        <f t="shared" si="28"/>
        <v>0.6</v>
      </c>
    </row>
    <row r="20" spans="2:28" x14ac:dyDescent="0.3">
      <c r="B20" t="s">
        <v>2</v>
      </c>
      <c r="C20">
        <v>7.0000000000000007E-2</v>
      </c>
      <c r="D20">
        <f t="shared" ref="D20:AA20" si="29">C20</f>
        <v>7.0000000000000007E-2</v>
      </c>
      <c r="E20">
        <f t="shared" si="29"/>
        <v>7.0000000000000007E-2</v>
      </c>
      <c r="F20">
        <f t="shared" si="29"/>
        <v>7.0000000000000007E-2</v>
      </c>
      <c r="G20">
        <f t="shared" si="29"/>
        <v>7.0000000000000007E-2</v>
      </c>
      <c r="H20">
        <f t="shared" si="29"/>
        <v>7.0000000000000007E-2</v>
      </c>
      <c r="I20">
        <f t="shared" si="29"/>
        <v>7.0000000000000007E-2</v>
      </c>
      <c r="J20">
        <f t="shared" si="29"/>
        <v>7.0000000000000007E-2</v>
      </c>
      <c r="K20">
        <f t="shared" si="29"/>
        <v>7.0000000000000007E-2</v>
      </c>
      <c r="L20">
        <f t="shared" si="29"/>
        <v>7.0000000000000007E-2</v>
      </c>
      <c r="M20">
        <f t="shared" si="29"/>
        <v>7.0000000000000007E-2</v>
      </c>
      <c r="N20">
        <f t="shared" si="29"/>
        <v>7.0000000000000007E-2</v>
      </c>
      <c r="O20">
        <f t="shared" si="29"/>
        <v>7.0000000000000007E-2</v>
      </c>
      <c r="P20">
        <f t="shared" si="29"/>
        <v>7.0000000000000007E-2</v>
      </c>
      <c r="Q20">
        <f t="shared" si="29"/>
        <v>7.0000000000000007E-2</v>
      </c>
      <c r="R20">
        <f t="shared" si="29"/>
        <v>7.0000000000000007E-2</v>
      </c>
      <c r="S20">
        <f t="shared" si="29"/>
        <v>7.0000000000000007E-2</v>
      </c>
      <c r="T20">
        <f t="shared" si="29"/>
        <v>7.0000000000000007E-2</v>
      </c>
      <c r="U20">
        <f t="shared" si="29"/>
        <v>7.0000000000000007E-2</v>
      </c>
      <c r="V20">
        <f t="shared" si="29"/>
        <v>7.0000000000000007E-2</v>
      </c>
      <c r="W20">
        <f t="shared" si="29"/>
        <v>7.0000000000000007E-2</v>
      </c>
      <c r="X20">
        <f t="shared" si="29"/>
        <v>7.0000000000000007E-2</v>
      </c>
      <c r="Y20">
        <f t="shared" si="29"/>
        <v>7.0000000000000007E-2</v>
      </c>
      <c r="Z20">
        <f t="shared" si="29"/>
        <v>7.0000000000000007E-2</v>
      </c>
      <c r="AA20">
        <f t="shared" si="29"/>
        <v>7.0000000000000007E-2</v>
      </c>
      <c r="AB20">
        <f t="shared" si="28"/>
        <v>7.0000000000000007E-2</v>
      </c>
    </row>
    <row r="21" spans="2:28" x14ac:dyDescent="0.3">
      <c r="B21" t="s">
        <v>3</v>
      </c>
      <c r="C21" s="1">
        <f>C11*C12</f>
        <v>0.32</v>
      </c>
      <c r="D21" s="1">
        <f t="shared" ref="D21:AB21" si="30">D11*D12</f>
        <v>0.35793702064772104</v>
      </c>
      <c r="E21" s="1">
        <f t="shared" si="30"/>
        <v>0.36328613634262885</v>
      </c>
      <c r="F21" s="1">
        <f t="shared" si="30"/>
        <v>0.33952963405725894</v>
      </c>
      <c r="G21" s="1">
        <f t="shared" si="30"/>
        <v>0.30821310838958987</v>
      </c>
      <c r="H21" s="1">
        <f t="shared" si="30"/>
        <v>0.29863235477279065</v>
      </c>
      <c r="I21" s="1">
        <f t="shared" si="30"/>
        <v>0.289411059211237</v>
      </c>
      <c r="J21" s="1">
        <f t="shared" si="30"/>
        <v>0.27644889929177335</v>
      </c>
      <c r="K21" s="1">
        <f t="shared" si="30"/>
        <v>0.26786339306556062</v>
      </c>
      <c r="L21" s="1">
        <f t="shared" si="30"/>
        <v>0.26048236333552144</v>
      </c>
      <c r="M21" s="1">
        <f t="shared" si="30"/>
        <v>0.25200432982656107</v>
      </c>
      <c r="N21" s="1">
        <f t="shared" si="30"/>
        <v>0.24433826605592987</v>
      </c>
      <c r="O21" s="1">
        <f t="shared" si="30"/>
        <v>0.23730200883634542</v>
      </c>
      <c r="P21" s="1">
        <f t="shared" si="30"/>
        <v>0.23014012948289905</v>
      </c>
      <c r="Q21" s="1">
        <f t="shared" si="30"/>
        <v>0.22321467587848709</v>
      </c>
      <c r="R21" s="1">
        <f t="shared" si="30"/>
        <v>0.21663068200450492</v>
      </c>
      <c r="S21" s="1">
        <f t="shared" si="30"/>
        <v>0.21020240388102876</v>
      </c>
      <c r="T21" s="1">
        <f t="shared" si="30"/>
        <v>0.20398125119226565</v>
      </c>
      <c r="U21" s="1">
        <f t="shared" si="30"/>
        <v>0.19801869082241552</v>
      </c>
      <c r="V21" s="1">
        <f t="shared" si="30"/>
        <v>0.19227063813299433</v>
      </c>
      <c r="W21" s="1">
        <f t="shared" si="30"/>
        <v>0.18673017748673254</v>
      </c>
      <c r="X21" s="1">
        <f t="shared" si="30"/>
        <v>0.18140114385891701</v>
      </c>
      <c r="Y21" s="1">
        <f t="shared" si="30"/>
        <v>0.17626362717838731</v>
      </c>
      <c r="Z21" s="1">
        <f t="shared" si="30"/>
        <v>0.1713031273115363</v>
      </c>
      <c r="AA21" s="1">
        <f t="shared" si="30"/>
        <v>0.16650932241147082</v>
      </c>
      <c r="AB21" s="1">
        <f t="shared" si="30"/>
        <v>0.16187142834717091</v>
      </c>
    </row>
    <row r="23" spans="2:28" x14ac:dyDescent="0.3">
      <c r="C23" s="1">
        <f>C18*C19/(C20+C21)</f>
        <v>2.3076923076923075</v>
      </c>
      <c r="D23" s="1">
        <f>D18*D19/(D20+D21)</f>
        <v>2.1242498463905499</v>
      </c>
      <c r="E23" s="1">
        <f t="shared" ref="E23:AB23" si="31">E18*E19/(E20+E21)</f>
        <v>2.1191105115304487</v>
      </c>
      <c r="F23" s="1">
        <f t="shared" si="31"/>
        <v>2.2645713604903568</v>
      </c>
      <c r="G23" s="1">
        <f t="shared" si="31"/>
        <v>2.4767245661095441</v>
      </c>
      <c r="H23" s="1">
        <f t="shared" si="31"/>
        <v>2.5666330545553553</v>
      </c>
      <c r="I23" s="1">
        <f t="shared" si="31"/>
        <v>2.6589412523590608</v>
      </c>
      <c r="J23" s="1">
        <f t="shared" si="31"/>
        <v>2.7861464276608103</v>
      </c>
      <c r="K23" s="1">
        <f t="shared" si="31"/>
        <v>2.8856584670546903</v>
      </c>
      <c r="L23" s="1">
        <f t="shared" si="31"/>
        <v>2.9797561521760132</v>
      </c>
      <c r="M23" s="1">
        <f t="shared" si="31"/>
        <v>3.088945502080128</v>
      </c>
      <c r="N23" s="1">
        <f t="shared" si="31"/>
        <v>3.1960800573806907</v>
      </c>
      <c r="O23" s="1">
        <f t="shared" si="31"/>
        <v>3.3021169313665091</v>
      </c>
      <c r="P23" s="1">
        <f t="shared" si="31"/>
        <v>3.4148900607126444</v>
      </c>
      <c r="Q23" s="1">
        <f t="shared" si="31"/>
        <v>3.5306773641866611</v>
      </c>
      <c r="R23" s="1">
        <f t="shared" si="31"/>
        <v>3.6480770695686333</v>
      </c>
      <c r="S23" s="1">
        <f t="shared" si="31"/>
        <v>3.7692745289261063</v>
      </c>
      <c r="T23" s="1">
        <f t="shared" si="31"/>
        <v>3.8936035277819823</v>
      </c>
      <c r="U23" s="1">
        <f t="shared" si="31"/>
        <v>4.0202256921087525</v>
      </c>
      <c r="V23" s="1">
        <f t="shared" si="31"/>
        <v>4.1496243942474704</v>
      </c>
      <c r="W23" s="1">
        <f t="shared" si="31"/>
        <v>4.2817813359746495</v>
      </c>
      <c r="X23" s="1">
        <f t="shared" si="31"/>
        <v>4.4164884730363756</v>
      </c>
      <c r="Y23" s="1">
        <f t="shared" si="31"/>
        <v>4.5539370567147355</v>
      </c>
      <c r="Z23" s="1">
        <f t="shared" si="31"/>
        <v>4.6942616183921002</v>
      </c>
      <c r="AA23" s="1">
        <f t="shared" si="31"/>
        <v>4.8375439226820545</v>
      </c>
      <c r="AB23" s="1">
        <f t="shared" si="31"/>
        <v>4.9838950976258314</v>
      </c>
    </row>
    <row r="24" spans="2:28" x14ac:dyDescent="0.3">
      <c r="D24" s="1"/>
      <c r="E24" s="1"/>
      <c r="F24" s="1"/>
      <c r="G24" s="1"/>
      <c r="H24" s="1"/>
      <c r="I24" s="1"/>
      <c r="J24" s="1"/>
      <c r="K24" s="1"/>
      <c r="L24" s="1"/>
      <c r="M24" s="1"/>
      <c r="N24" s="1"/>
      <c r="O24" s="1"/>
      <c r="P24" s="1"/>
      <c r="Q24" s="1"/>
      <c r="R24" s="1"/>
      <c r="S24" s="1"/>
      <c r="T24" s="1"/>
      <c r="U24" s="1"/>
      <c r="V24" s="1"/>
      <c r="W24" s="1"/>
      <c r="X24" s="1"/>
      <c r="Y24" s="1"/>
      <c r="Z24" s="1"/>
      <c r="AA24" s="1"/>
      <c r="AB24" s="1"/>
    </row>
    <row r="25" spans="2:28" x14ac:dyDescent="0.3">
      <c r="B25" t="s">
        <v>4</v>
      </c>
      <c r="C25" s="1">
        <f>C23^(1/(1-C19))</f>
        <v>8.0899298554020689</v>
      </c>
      <c r="D25" s="1">
        <f>D23^(1/(1-D19))</f>
        <v>6.5767902112111942</v>
      </c>
      <c r="E25" s="1">
        <f t="shared" ref="E25:AB25" si="32">E23^(1/(1-E19))</f>
        <v>6.5370832288742102</v>
      </c>
      <c r="F25" s="1">
        <f t="shared" si="32"/>
        <v>7.7172936609574094</v>
      </c>
      <c r="G25" s="1">
        <f t="shared" si="32"/>
        <v>9.6537106948203579</v>
      </c>
      <c r="H25" s="1">
        <f t="shared" si="32"/>
        <v>10.553814527866054</v>
      </c>
      <c r="I25" s="1">
        <f t="shared" si="32"/>
        <v>11.528474809267163</v>
      </c>
      <c r="J25" s="1">
        <f t="shared" si="32"/>
        <v>12.957160645214163</v>
      </c>
      <c r="K25" s="1">
        <f t="shared" si="32"/>
        <v>14.145305187448798</v>
      </c>
      <c r="L25" s="1">
        <f t="shared" si="32"/>
        <v>15.326811380724354</v>
      </c>
      <c r="M25" s="1">
        <f t="shared" si="32"/>
        <v>16.769712433437025</v>
      </c>
      <c r="N25" s="1">
        <f t="shared" si="32"/>
        <v>18.261822747863931</v>
      </c>
      <c r="O25" s="1">
        <f t="shared" si="32"/>
        <v>19.814408853032759</v>
      </c>
      <c r="P25" s="1">
        <f t="shared" si="32"/>
        <v>21.549729162827479</v>
      </c>
      <c r="Q25" s="1">
        <f t="shared" si="32"/>
        <v>23.423138322847286</v>
      </c>
      <c r="R25" s="1">
        <f t="shared" si="32"/>
        <v>25.419090756263685</v>
      </c>
      <c r="S25" s="1">
        <f t="shared" si="32"/>
        <v>27.583185767112365</v>
      </c>
      <c r="T25" s="1">
        <f t="shared" si="32"/>
        <v>29.914332517508946</v>
      </c>
      <c r="U25" s="1">
        <f t="shared" si="32"/>
        <v>32.406049178985548</v>
      </c>
      <c r="V25" s="1">
        <f t="shared" si="32"/>
        <v>35.076961829506097</v>
      </c>
      <c r="W25" s="1">
        <f t="shared" si="32"/>
        <v>37.936845154390873</v>
      </c>
      <c r="X25" s="1">
        <f t="shared" si="32"/>
        <v>40.991400182478728</v>
      </c>
      <c r="Y25" s="1">
        <f t="shared" si="32"/>
        <v>44.255531310953963</v>
      </c>
      <c r="Z25" s="1">
        <f t="shared" si="32"/>
        <v>47.74393658186348</v>
      </c>
      <c r="AA25" s="1">
        <f t="shared" si="32"/>
        <v>51.470964102994273</v>
      </c>
      <c r="AB25" s="1">
        <f t="shared" si="32"/>
        <v>55.4526405803947</v>
      </c>
    </row>
    <row r="27" spans="2:28" x14ac:dyDescent="0.3">
      <c r="B27" t="s">
        <v>7</v>
      </c>
      <c r="C27" s="1">
        <f>C18*C25^C19</f>
        <v>5.258454406011345</v>
      </c>
      <c r="D27" s="1">
        <f t="shared" ref="D27:AB27" si="33">D18*D25^D19</f>
        <v>4.6907533473513574</v>
      </c>
      <c r="E27" s="1">
        <f t="shared" si="33"/>
        <v>4.7207125586485068</v>
      </c>
      <c r="F27" s="1">
        <f t="shared" si="33"/>
        <v>5.2674340814738194</v>
      </c>
      <c r="G27" s="1">
        <f t="shared" si="33"/>
        <v>6.0852665489697255</v>
      </c>
      <c r="H27" s="1">
        <f t="shared" si="33"/>
        <v>6.4841291687375859</v>
      </c>
      <c r="I27" s="1">
        <f t="shared" si="33"/>
        <v>6.9057689038146242</v>
      </c>
      <c r="J27" s="1">
        <f t="shared" si="33"/>
        <v>7.4816567391352189</v>
      </c>
      <c r="K27" s="1">
        <f t="shared" si="33"/>
        <v>7.9653013442988803</v>
      </c>
      <c r="L27" s="1">
        <f t="shared" si="33"/>
        <v>8.4420680791659191</v>
      </c>
      <c r="M27" s="1">
        <f t="shared" si="33"/>
        <v>8.9998666891883996</v>
      </c>
      <c r="N27" s="1">
        <f t="shared" si="33"/>
        <v>9.5673161626404735</v>
      </c>
      <c r="O27" s="1">
        <f t="shared" si="33"/>
        <v>10.148346074069389</v>
      </c>
      <c r="P27" s="1">
        <f t="shared" si="33"/>
        <v>10.779897502087408</v>
      </c>
      <c r="Q27" s="1">
        <f t="shared" si="33"/>
        <v>11.446679852317727</v>
      </c>
      <c r="R27" s="1">
        <f t="shared" si="33"/>
        <v>12.143152199003779</v>
      </c>
      <c r="S27" s="1">
        <f t="shared" si="33"/>
        <v>12.881458264403106</v>
      </c>
      <c r="T27" s="1">
        <f t="shared" si="33"/>
        <v>13.659943752880967</v>
      </c>
      <c r="U27" s="1">
        <f t="shared" si="33"/>
        <v>14.4757114594642</v>
      </c>
      <c r="V27" s="1">
        <f t="shared" si="33"/>
        <v>15.33276193798541</v>
      </c>
      <c r="W27" s="1">
        <f t="shared" si="33"/>
        <v>16.232554982955762</v>
      </c>
      <c r="X27" s="1">
        <f t="shared" si="33"/>
        <v>17.175474823756282</v>
      </c>
      <c r="Y27" s="1">
        <f t="shared" si="33"/>
        <v>18.164212772237018</v>
      </c>
      <c r="Z27" s="1">
        <f t="shared" si="33"/>
        <v>19.201268678945532</v>
      </c>
      <c r="AA27" s="1">
        <f t="shared" si="33"/>
        <v>20.288938073107182</v>
      </c>
      <c r="AB27" s="1">
        <f t="shared" si="33"/>
        <v>21.429804961664015</v>
      </c>
    </row>
    <row r="29" spans="2:28" x14ac:dyDescent="0.3">
      <c r="B29" t="s">
        <v>24</v>
      </c>
      <c r="C29" s="1">
        <f>C27*TRANSITION!B17*LABOR!AI5/1000000</f>
        <v>6.3805220729257872E-2</v>
      </c>
      <c r="D29" s="1">
        <f>D27*TRANSITION!C17*LABOR!AJ5/1000000</f>
        <v>0.32351593883200824</v>
      </c>
      <c r="E29" s="1">
        <f>E27*TRANSITION!D17*LABOR!AK5/1000000</f>
        <v>0.7013451329341911</v>
      </c>
      <c r="F29" s="1">
        <f>F27*TRANSITION!E17*LABOR!AL5/1000000</f>
        <v>1.3618018650681603</v>
      </c>
      <c r="G29" s="1">
        <f>G27*TRANSITION!F17*LABOR!AM5/1000000</f>
        <v>2.484987937365831</v>
      </c>
      <c r="H29" s="1">
        <f>H27*TRANSITION!G17*LABOR!AN5/1000000</f>
        <v>3.951414188673195</v>
      </c>
      <c r="I29" s="1">
        <f>I27*TRANSITION!H17*LABOR!AO5/1000000</f>
        <v>6.0386454837459826</v>
      </c>
      <c r="J29" s="1">
        <f>J27*TRANSITION!I17*LABOR!AP5/1000000</f>
        <v>9.1032355703550465</v>
      </c>
      <c r="K29" s="1">
        <f>K27*TRANSITION!J17*LABOR!AQ5/1000000</f>
        <v>13.129210590230461</v>
      </c>
      <c r="L29" s="1">
        <f>L27*TRANSITION!K17*LABOR!AR5/1000000</f>
        <v>18.378832891315913</v>
      </c>
      <c r="M29" s="1">
        <f>M27*TRANSITION!L17*LABOR!AS5/1000000</f>
        <v>25.234065098744491</v>
      </c>
      <c r="N29" s="1">
        <f>N27*TRANSITION!M17*LABOR!AT5/1000000</f>
        <v>33.680945676838078</v>
      </c>
      <c r="O29" s="1">
        <f>O27*TRANSITION!N17*LABOR!AU5/1000000</f>
        <v>43.728388284022763</v>
      </c>
      <c r="P29" s="1">
        <f>P27*TRANSITION!O17*LABOR!AV5/1000000</f>
        <v>55.444125403542444</v>
      </c>
      <c r="Q29" s="1">
        <f>Q27*TRANSITION!P17*LABOR!AW5/1000000</f>
        <v>68.608954080429598</v>
      </c>
      <c r="R29" s="1">
        <f>R27*TRANSITION!Q17*LABOR!AX5/1000000</f>
        <v>82.964668733382737</v>
      </c>
      <c r="S29" s="1">
        <f>S27*TRANSITION!R17*LABOR!AY5/1000000</f>
        <v>98.359922138870573</v>
      </c>
      <c r="T29" s="1">
        <f>T27*TRANSITION!S17*LABOR!AZ5/1000000</f>
        <v>114.59993498645508</v>
      </c>
      <c r="U29" s="1">
        <f>U27*TRANSITION!T17*LABOR!BA5/1000000</f>
        <v>131.54159375191568</v>
      </c>
      <c r="V29" s="1">
        <f>V27*TRANSITION!U17*LABOR!BB5/1000000</f>
        <v>149.16514570167115</v>
      </c>
      <c r="W29" s="1">
        <f>W27*TRANSITION!V17*LABOR!BC5/1000000</f>
        <v>167.49082335279596</v>
      </c>
      <c r="X29" s="1">
        <f>X27*TRANSITION!W17*LABOR!BD5/1000000</f>
        <v>186.58135492536803</v>
      </c>
      <c r="Y29" s="1">
        <f>Y27*TRANSITION!X17*LABOR!BE5/1000000</f>
        <v>206.53655101525214</v>
      </c>
      <c r="Z29" s="1">
        <f>Z27*TRANSITION!Y17*LABOR!BF5/1000000</f>
        <v>227.48697555059985</v>
      </c>
      <c r="AA29" s="1">
        <f>AA27*TRANSITION!Z17*LABOR!BG5/1000000</f>
        <v>249.58879219169734</v>
      </c>
      <c r="AB29" s="1">
        <f>AB27*TRANSITION!AA17*LABOR!BH5/1000000</f>
        <v>272.96878317960392</v>
      </c>
    </row>
    <row r="33" spans="2:28" x14ac:dyDescent="0.3">
      <c r="B33" t="s">
        <v>40</v>
      </c>
      <c r="C33">
        <f>C7</f>
        <v>0.1</v>
      </c>
    </row>
    <row r="34" spans="2:28" x14ac:dyDescent="0.3">
      <c r="B34" t="s">
        <v>39</v>
      </c>
      <c r="C34" s="1">
        <f>C25*LABOR!AI5*TRANSITION!B17/1000000</f>
        <v>9.8161878045012113E-2</v>
      </c>
      <c r="D34" s="1">
        <f>D25*LABOR!AJ5*TRANSITION!C17/1000000</f>
        <v>0.45359376247795224</v>
      </c>
      <c r="E34" s="1">
        <f>E25*LABOR!AK5*TRANSITION!D17/1000000</f>
        <v>0.97119904022905035</v>
      </c>
      <c r="F34" s="1">
        <f>F25*LABOR!AL5*TRANSITION!E17/1000000</f>
        <v>1.9951697046828485</v>
      </c>
      <c r="G34" s="1">
        <f>G25*LABOR!AM5*TRANSITION!F17/1000000</f>
        <v>3.9422027670274615</v>
      </c>
      <c r="H34" s="1">
        <f>H25*LABOR!AN5*TRANSITION!G17/1000000</f>
        <v>6.4314715800386191</v>
      </c>
      <c r="I34" s="1">
        <f>I25*LABOR!AO5*TRANSITION!H17/1000000</f>
        <v>10.080900955577247</v>
      </c>
      <c r="J34" s="1">
        <f>J25*LABOR!AP5*TRANSITION!I17/1000000</f>
        <v>15.765503522679902</v>
      </c>
      <c r="K34" s="1">
        <f>K25*LABOR!AQ5*TRANSITION!J17/1000000</f>
        <v>23.315714326617453</v>
      </c>
      <c r="L34" s="1">
        <f>L25*LABOR!AR5*TRANSITION!K17/1000000</f>
        <v>33.367286603412801</v>
      </c>
      <c r="M34" s="1">
        <f>M25*LABOR!AS5*TRANSITION!L17/1000000</f>
        <v>47.019364824695607</v>
      </c>
      <c r="N34" s="1">
        <f>N25*LABOR!AT5*TRANSITION!M17/1000000</f>
        <v>64.289237386412125</v>
      </c>
      <c r="O34" s="1">
        <f>O25*LABOR!AU5*TRANSITION!N17/1000000</f>
        <v>85.378657529005181</v>
      </c>
      <c r="P34" s="1">
        <f>P25*LABOR!AV5*TRANSITION!O17/1000000</f>
        <v>110.83647927865933</v>
      </c>
      <c r="Q34" s="1">
        <f>Q25*LABOR!AW5*TRANSITION!P17/1000000</f>
        <v>140.39328804032087</v>
      </c>
      <c r="R34" s="1">
        <f>R25*LABOR!AX5*TRANSITION!Q17/1000000</f>
        <v>173.66878134577112</v>
      </c>
      <c r="S34" s="1">
        <f>S25*LABOR!AY5*TRANSITION!R17/1000000</f>
        <v>210.61901135002378</v>
      </c>
      <c r="T34" s="1">
        <f>T25*LABOR!AZ5*TRANSITION!S17/1000000</f>
        <v>250.96593541585409</v>
      </c>
      <c r="U34" s="1">
        <f>U25*LABOR!BA5*TRANSITION!T17/1000000</f>
        <v>294.47556813656587</v>
      </c>
      <c r="V34" s="1">
        <f>V25*LABOR!BB5*TRANSITION!U17/1000000</f>
        <v>341.2470723299906</v>
      </c>
      <c r="W34" s="1">
        <f>W25*LABOR!BC5*TRANSITION!V17/1000000</f>
        <v>391.44012984944482</v>
      </c>
      <c r="X34" s="1">
        <f>X25*LABOR!BD5*TRANSITION!W17/1000000</f>
        <v>445.29953697444211</v>
      </c>
      <c r="Y34" s="1">
        <f>Y25*LABOR!BE5*TRANSITION!X17/1000000</f>
        <v>503.2084194852913</v>
      </c>
      <c r="Z34" s="1">
        <f>Z25*LABOR!BF5*TRANSITION!Y17/1000000</f>
        <v>565.64615158982406</v>
      </c>
      <c r="AA34" s="1">
        <f>AA25*LABOR!BG5*TRANSITION!Z17/1000000</f>
        <v>633.18127923297175</v>
      </c>
      <c r="AB34" s="1">
        <f>AB25*LABOR!BH5*TRANSITION!AA17/1000000</f>
        <v>706.34519774700277</v>
      </c>
    </row>
    <row r="35" spans="2:28" x14ac:dyDescent="0.3">
      <c r="C35">
        <v>2</v>
      </c>
      <c r="D35" s="1">
        <f>LN(D34/C34)</f>
        <v>1.5305840684605647</v>
      </c>
      <c r="E35" s="1">
        <f t="shared" ref="E35:AB35" si="34">LN(E34/D34)</f>
        <v>0.76132943090461791</v>
      </c>
      <c r="F35" s="1">
        <f t="shared" si="34"/>
        <v>0.71995295863736231</v>
      </c>
      <c r="G35" s="1">
        <f t="shared" si="34"/>
        <v>0.6810105332818176</v>
      </c>
      <c r="H35" s="1">
        <f t="shared" si="34"/>
        <v>0.48946372864727289</v>
      </c>
      <c r="I35" s="1">
        <f t="shared" si="34"/>
        <v>0.4494392655056092</v>
      </c>
      <c r="J35" s="1">
        <f t="shared" si="34"/>
        <v>0.44718159259994233</v>
      </c>
      <c r="K35" s="1">
        <f t="shared" si="34"/>
        <v>0.39130333609902812</v>
      </c>
      <c r="L35" s="1">
        <f t="shared" si="34"/>
        <v>0.35844840914172038</v>
      </c>
      <c r="M35" s="1">
        <f t="shared" si="34"/>
        <v>0.34298355739752229</v>
      </c>
      <c r="N35" s="1">
        <f t="shared" si="34"/>
        <v>0.31283270159516097</v>
      </c>
      <c r="O35" s="1">
        <f t="shared" si="34"/>
        <v>0.28370392172699765</v>
      </c>
      <c r="P35" s="1">
        <f t="shared" si="34"/>
        <v>0.26095979777106437</v>
      </c>
      <c r="Q35" s="1">
        <f t="shared" si="34"/>
        <v>0.23639172897427346</v>
      </c>
      <c r="R35" s="1">
        <f t="shared" si="34"/>
        <v>0.21270224519788661</v>
      </c>
      <c r="S35" s="1">
        <f t="shared" si="34"/>
        <v>0.19290093827664218</v>
      </c>
      <c r="T35" s="1">
        <f t="shared" si="34"/>
        <v>0.17526634650404396</v>
      </c>
      <c r="U35" s="1">
        <f t="shared" si="34"/>
        <v>0.1598788247162663</v>
      </c>
      <c r="V35" s="1">
        <f t="shared" si="34"/>
        <v>0.14741072804640579</v>
      </c>
      <c r="W35" s="1">
        <f t="shared" si="34"/>
        <v>0.13722581149369337</v>
      </c>
      <c r="X35" s="1">
        <f t="shared" si="34"/>
        <v>0.12891459381795115</v>
      </c>
      <c r="Y35" s="1">
        <f t="shared" si="34"/>
        <v>0.12225726461152615</v>
      </c>
      <c r="Z35" s="1">
        <f t="shared" si="34"/>
        <v>0.11696427169818088</v>
      </c>
      <c r="AA35" s="1">
        <f t="shared" si="34"/>
        <v>0.11278805340873578</v>
      </c>
      <c r="AB35" s="1">
        <f t="shared" si="34"/>
        <v>0.10934730440726657</v>
      </c>
    </row>
    <row r="36" spans="2:28" x14ac:dyDescent="0.3">
      <c r="C36">
        <v>0.15</v>
      </c>
      <c r="D36" s="10">
        <f>C35*$C33</f>
        <v>0.2</v>
      </c>
      <c r="E36" s="10">
        <f>D35*$C33</f>
        <v>0.15305840684605648</v>
      </c>
      <c r="F36" s="10">
        <f t="shared" ref="F36:AB36" si="35">E35*$C33</f>
        <v>7.6132943090461799E-2</v>
      </c>
      <c r="G36" s="10">
        <f t="shared" si="35"/>
        <v>7.1995295863736236E-2</v>
      </c>
      <c r="H36" s="10">
        <f t="shared" si="35"/>
        <v>6.8101053328181768E-2</v>
      </c>
      <c r="I36" s="10">
        <f t="shared" si="35"/>
        <v>4.8946372864727292E-2</v>
      </c>
      <c r="J36" s="10">
        <f t="shared" si="35"/>
        <v>4.4943926550560925E-2</v>
      </c>
      <c r="K36" s="10">
        <f t="shared" si="35"/>
        <v>4.4718159259994235E-2</v>
      </c>
      <c r="L36" s="10">
        <f t="shared" si="35"/>
        <v>3.9130333609902812E-2</v>
      </c>
      <c r="M36" s="10">
        <f t="shared" si="35"/>
        <v>3.5844840914172039E-2</v>
      </c>
      <c r="N36" s="10">
        <f t="shared" si="35"/>
        <v>3.4298355739752227E-2</v>
      </c>
      <c r="O36" s="10">
        <f t="shared" si="35"/>
        <v>3.1283270159516097E-2</v>
      </c>
      <c r="P36" s="10">
        <f t="shared" si="35"/>
        <v>2.8370392172699765E-2</v>
      </c>
      <c r="Q36" s="10">
        <f t="shared" si="35"/>
        <v>2.609597977710644E-2</v>
      </c>
      <c r="R36" s="10">
        <f t="shared" si="35"/>
        <v>2.3639172897427348E-2</v>
      </c>
      <c r="S36" s="10">
        <f t="shared" si="35"/>
        <v>2.1270224519788661E-2</v>
      </c>
      <c r="T36" s="10">
        <f t="shared" si="35"/>
        <v>1.929009382766422E-2</v>
      </c>
      <c r="U36" s="10">
        <f t="shared" si="35"/>
        <v>1.7526634650404396E-2</v>
      </c>
      <c r="V36" s="10">
        <f t="shared" si="35"/>
        <v>1.5987882471626632E-2</v>
      </c>
      <c r="W36" s="10">
        <f t="shared" si="35"/>
        <v>1.4741072804640579E-2</v>
      </c>
      <c r="X36" s="10">
        <f t="shared" si="35"/>
        <v>1.3722581149369337E-2</v>
      </c>
      <c r="Y36" s="10">
        <f t="shared" si="35"/>
        <v>1.2891459381795116E-2</v>
      </c>
      <c r="Z36" s="10">
        <f t="shared" si="35"/>
        <v>1.2225726461152615E-2</v>
      </c>
      <c r="AA36" s="10">
        <f t="shared" si="35"/>
        <v>1.1696427169818089E-2</v>
      </c>
      <c r="AB36" s="10">
        <f t="shared" si="35"/>
        <v>1.1278805340873579E-2</v>
      </c>
    </row>
    <row r="46" spans="2:28" x14ac:dyDescent="0.3">
      <c r="C46">
        <v>0.15</v>
      </c>
    </row>
    <row r="47" spans="2:28" x14ac:dyDescent="0.3">
      <c r="C47">
        <v>0.06</v>
      </c>
    </row>
    <row r="48" spans="2:28" x14ac:dyDescent="0.3">
      <c r="C48">
        <f>C46/C47</f>
        <v>2.5</v>
      </c>
    </row>
    <row r="49" spans="3:3" x14ac:dyDescent="0.3">
      <c r="C49">
        <f>LN(C47/C46)</f>
        <v>-0.916290731874155</v>
      </c>
    </row>
    <row r="50" spans="3:3" x14ac:dyDescent="0.3">
      <c r="C50">
        <f>C49/(2050-2025)</f>
        <v>-3.6651629274966201E-2</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9A0BC-5567-AC49-8C33-9974063EAB0A}">
  <dimension ref="A3:AB24"/>
  <sheetViews>
    <sheetView topLeftCell="A18" zoomScale="70" zoomScaleNormal="70" workbookViewId="0">
      <selection activeCell="N38" sqref="N38"/>
    </sheetView>
  </sheetViews>
  <sheetFormatPr baseColWidth="10" defaultColWidth="11" defaultRowHeight="15.6" x14ac:dyDescent="0.3"/>
  <cols>
    <col min="2" max="2" width="12.296875" bestFit="1" customWidth="1"/>
  </cols>
  <sheetData>
    <row r="3" spans="1:28" x14ac:dyDescent="0.3">
      <c r="A3" t="s">
        <v>6</v>
      </c>
      <c r="B3">
        <v>2025</v>
      </c>
      <c r="C3">
        <f>B3+1</f>
        <v>2026</v>
      </c>
      <c r="D3">
        <f t="shared" ref="D3:AA3" si="0">C3+1</f>
        <v>2027</v>
      </c>
      <c r="E3">
        <f t="shared" si="0"/>
        <v>2028</v>
      </c>
      <c r="F3">
        <f t="shared" si="0"/>
        <v>2029</v>
      </c>
      <c r="G3">
        <f t="shared" si="0"/>
        <v>2030</v>
      </c>
      <c r="H3">
        <f t="shared" si="0"/>
        <v>2031</v>
      </c>
      <c r="I3">
        <f t="shared" si="0"/>
        <v>2032</v>
      </c>
      <c r="J3">
        <f t="shared" si="0"/>
        <v>2033</v>
      </c>
      <c r="K3">
        <f t="shared" si="0"/>
        <v>2034</v>
      </c>
      <c r="L3">
        <f t="shared" si="0"/>
        <v>2035</v>
      </c>
      <c r="M3">
        <f t="shared" si="0"/>
        <v>2036</v>
      </c>
      <c r="N3">
        <f t="shared" si="0"/>
        <v>2037</v>
      </c>
      <c r="O3">
        <f t="shared" si="0"/>
        <v>2038</v>
      </c>
      <c r="P3">
        <f t="shared" si="0"/>
        <v>2039</v>
      </c>
      <c r="Q3">
        <f t="shared" si="0"/>
        <v>2040</v>
      </c>
      <c r="R3">
        <f t="shared" si="0"/>
        <v>2041</v>
      </c>
      <c r="S3">
        <f t="shared" si="0"/>
        <v>2042</v>
      </c>
      <c r="T3">
        <f t="shared" si="0"/>
        <v>2043</v>
      </c>
      <c r="U3">
        <f t="shared" si="0"/>
        <v>2044</v>
      </c>
      <c r="V3">
        <f t="shared" si="0"/>
        <v>2045</v>
      </c>
      <c r="W3">
        <f t="shared" si="0"/>
        <v>2046</v>
      </c>
      <c r="X3">
        <f t="shared" si="0"/>
        <v>2047</v>
      </c>
      <c r="Y3">
        <f t="shared" si="0"/>
        <v>2048</v>
      </c>
      <c r="Z3">
        <f t="shared" si="0"/>
        <v>2049</v>
      </c>
      <c r="AA3">
        <f t="shared" si="0"/>
        <v>2050</v>
      </c>
    </row>
    <row r="4" spans="1:28" x14ac:dyDescent="0.3">
      <c r="A4" t="s">
        <v>22</v>
      </c>
      <c r="B4" s="1">
        <f>$B10/(1+EXP(-$B12*((B3-$B3)-$B11)))</f>
        <v>1.3298496788432932E-2</v>
      </c>
      <c r="C4" s="1">
        <f t="shared" ref="C4:AA4" si="1">$B10/(1+EXP(-$B12*((C3-$B3)-$B11)))</f>
        <v>1.778559463631809E-2</v>
      </c>
      <c r="D4" s="1">
        <f t="shared" si="1"/>
        <v>2.3712936588783391E-2</v>
      </c>
      <c r="E4" s="1">
        <f t="shared" si="1"/>
        <v>3.1486678028498256E-2</v>
      </c>
      <c r="F4" s="1">
        <f t="shared" si="1"/>
        <v>4.158634824696119E-2</v>
      </c>
      <c r="G4" s="1">
        <f t="shared" si="1"/>
        <v>5.4548410597806463E-2</v>
      </c>
      <c r="H4" s="1">
        <f t="shared" si="1"/>
        <v>7.0925532450243911E-2</v>
      </c>
      <c r="I4" s="1">
        <f t="shared" si="1"/>
        <v>9.1212761903178174E-2</v>
      </c>
      <c r="J4" s="1">
        <f t="shared" si="1"/>
        <v>0.11573760825049119</v>
      </c>
      <c r="K4" s="1">
        <f t="shared" si="1"/>
        <v>0.14452524868749803</v>
      </c>
      <c r="L4" s="1">
        <f t="shared" si="1"/>
        <v>0.17717184688710227</v>
      </c>
      <c r="M4" s="1">
        <f t="shared" si="1"/>
        <v>0.21277874159417051</v>
      </c>
      <c r="N4" s="1">
        <f t="shared" si="1"/>
        <v>0.25</v>
      </c>
      <c r="O4" s="1">
        <f t="shared" si="1"/>
        <v>0.28722125840582952</v>
      </c>
      <c r="P4" s="1">
        <f t="shared" si="1"/>
        <v>0.3228281531128977</v>
      </c>
      <c r="Q4" s="1">
        <f t="shared" si="1"/>
        <v>0.35547475131250195</v>
      </c>
      <c r="R4" s="1">
        <f t="shared" si="1"/>
        <v>0.38426239174950877</v>
      </c>
      <c r="S4" s="1">
        <f t="shared" si="1"/>
        <v>0.40878723809682183</v>
      </c>
      <c r="T4" s="1">
        <f t="shared" si="1"/>
        <v>0.42907446754975614</v>
      </c>
      <c r="U4" s="1">
        <f t="shared" si="1"/>
        <v>0.44545158940219354</v>
      </c>
      <c r="V4" s="1">
        <f t="shared" si="1"/>
        <v>0.45841365175303883</v>
      </c>
      <c r="W4" s="1">
        <f t="shared" si="1"/>
        <v>0.46851332197150175</v>
      </c>
      <c r="X4" s="1">
        <f t="shared" si="1"/>
        <v>0.47628706341121668</v>
      </c>
      <c r="Y4" s="1">
        <f t="shared" si="1"/>
        <v>0.48221440536368193</v>
      </c>
      <c r="Z4" s="1">
        <f t="shared" si="1"/>
        <v>0.48670150321156702</v>
      </c>
      <c r="AA4" s="1">
        <f t="shared" si="1"/>
        <v>0.49007984713296127</v>
      </c>
    </row>
    <row r="5" spans="1:28" x14ac:dyDescent="0.3">
      <c r="B5" s="1">
        <f>B4-B9</f>
        <v>1.2298496788432933E-2</v>
      </c>
    </row>
    <row r="7" spans="1:28" x14ac:dyDescent="0.3">
      <c r="A7" s="8" t="s">
        <v>22</v>
      </c>
      <c r="B7" s="9">
        <f>B4-$B5</f>
        <v>9.9999999999999915E-4</v>
      </c>
      <c r="C7" s="9">
        <f t="shared" ref="C7:AA7" si="2">C4-$B5</f>
        <v>5.4870978478851577E-3</v>
      </c>
      <c r="D7" s="9">
        <f t="shared" si="2"/>
        <v>1.1414439800350458E-2</v>
      </c>
      <c r="E7" s="9">
        <f t="shared" si="2"/>
        <v>1.9188181240065324E-2</v>
      </c>
      <c r="F7" s="9">
        <f t="shared" si="2"/>
        <v>2.9287851458528257E-2</v>
      </c>
      <c r="G7" s="9">
        <f t="shared" si="2"/>
        <v>4.2249913809373527E-2</v>
      </c>
      <c r="H7" s="9">
        <f t="shared" si="2"/>
        <v>5.8627035661810975E-2</v>
      </c>
      <c r="I7" s="9">
        <f t="shared" si="2"/>
        <v>7.8914265114745238E-2</v>
      </c>
      <c r="J7" s="9">
        <f t="shared" si="2"/>
        <v>0.10343911146205825</v>
      </c>
      <c r="K7" s="9">
        <f t="shared" si="2"/>
        <v>0.1322267518990651</v>
      </c>
      <c r="L7" s="9">
        <f t="shared" si="2"/>
        <v>0.16487335009866935</v>
      </c>
      <c r="M7" s="9">
        <f t="shared" si="2"/>
        <v>0.20048024480573759</v>
      </c>
      <c r="N7" s="9">
        <f t="shared" si="2"/>
        <v>0.23770150321156708</v>
      </c>
      <c r="O7" s="9">
        <f t="shared" si="2"/>
        <v>0.27492276161739659</v>
      </c>
      <c r="P7" s="9">
        <f t="shared" si="2"/>
        <v>0.31052965632446478</v>
      </c>
      <c r="Q7" s="9">
        <f t="shared" si="2"/>
        <v>0.34317625452406902</v>
      </c>
      <c r="R7" s="9">
        <f t="shared" si="2"/>
        <v>0.37196389496107585</v>
      </c>
      <c r="S7" s="9">
        <f t="shared" si="2"/>
        <v>0.3964887413083889</v>
      </c>
      <c r="T7" s="9">
        <f t="shared" si="2"/>
        <v>0.41677597076132322</v>
      </c>
      <c r="U7" s="9">
        <f t="shared" si="2"/>
        <v>0.43315309261376062</v>
      </c>
      <c r="V7" s="9">
        <f t="shared" si="2"/>
        <v>0.44611515496460591</v>
      </c>
      <c r="W7" s="9">
        <f t="shared" si="2"/>
        <v>0.45621482518306883</v>
      </c>
      <c r="X7" s="9">
        <f t="shared" si="2"/>
        <v>0.46398856662278376</v>
      </c>
      <c r="Y7" s="9">
        <f t="shared" si="2"/>
        <v>0.46991590857524901</v>
      </c>
      <c r="Z7" s="9">
        <f t="shared" si="2"/>
        <v>0.4744030064231341</v>
      </c>
      <c r="AA7" s="9">
        <f t="shared" si="2"/>
        <v>0.47778135034452834</v>
      </c>
      <c r="AB7" s="8"/>
    </row>
    <row r="9" spans="1:28" x14ac:dyDescent="0.3">
      <c r="A9" t="s">
        <v>23</v>
      </c>
      <c r="B9">
        <v>1E-3</v>
      </c>
      <c r="D9" t="s">
        <v>143</v>
      </c>
    </row>
    <row r="10" spans="1:28" x14ac:dyDescent="0.3">
      <c r="A10" t="s">
        <v>41</v>
      </c>
      <c r="B10" s="23">
        <v>0.5</v>
      </c>
      <c r="C10">
        <f>D10*D11</f>
        <v>50</v>
      </c>
      <c r="D10" s="19">
        <v>80</v>
      </c>
    </row>
    <row r="11" spans="1:28" x14ac:dyDescent="0.3">
      <c r="B11">
        <v>12</v>
      </c>
      <c r="C11" t="s">
        <v>144</v>
      </c>
      <c r="D11">
        <v>0.625</v>
      </c>
    </row>
    <row r="12" spans="1:28" x14ac:dyDescent="0.3">
      <c r="B12">
        <v>0.3</v>
      </c>
    </row>
    <row r="14" spans="1:28" ht="18" x14ac:dyDescent="0.35">
      <c r="A14" s="2" t="s">
        <v>34</v>
      </c>
    </row>
    <row r="16" spans="1:28" x14ac:dyDescent="0.3">
      <c r="A16" t="s">
        <v>169</v>
      </c>
      <c r="B16" s="1">
        <f>1-B17</f>
        <v>0.999</v>
      </c>
      <c r="C16" s="1">
        <f t="shared" ref="C16:AA16" si="3">1-C17</f>
        <v>0.99451290215211485</v>
      </c>
      <c r="D16" s="1">
        <f t="shared" si="3"/>
        <v>0.98858556019964949</v>
      </c>
      <c r="E16" s="1">
        <f t="shared" si="3"/>
        <v>0.98081181875993473</v>
      </c>
      <c r="F16" s="1">
        <f t="shared" si="3"/>
        <v>0.9707121485414717</v>
      </c>
      <c r="G16" s="1">
        <f t="shared" si="3"/>
        <v>0.95775008619062652</v>
      </c>
      <c r="H16" s="1">
        <f t="shared" si="3"/>
        <v>0.94137296433818907</v>
      </c>
      <c r="I16" s="1">
        <f t="shared" si="3"/>
        <v>0.9210857348852548</v>
      </c>
      <c r="J16" s="1">
        <f t="shared" si="3"/>
        <v>0.89656088853794169</v>
      </c>
      <c r="K16" s="1">
        <f t="shared" si="3"/>
        <v>0.86777324810093492</v>
      </c>
      <c r="L16" s="1">
        <f t="shared" si="3"/>
        <v>0.83512664990133068</v>
      </c>
      <c r="M16" s="1">
        <f t="shared" si="3"/>
        <v>0.79951975519426244</v>
      </c>
      <c r="N16" s="1">
        <f t="shared" si="3"/>
        <v>0.76229849678843298</v>
      </c>
      <c r="O16" s="1">
        <f t="shared" si="3"/>
        <v>0.72507723838260341</v>
      </c>
      <c r="P16" s="1">
        <f t="shared" si="3"/>
        <v>0.68947034367553517</v>
      </c>
      <c r="Q16" s="1">
        <f t="shared" si="3"/>
        <v>0.65682374547593092</v>
      </c>
      <c r="R16" s="1">
        <f t="shared" si="3"/>
        <v>0.62803610503892415</v>
      </c>
      <c r="S16" s="1">
        <f t="shared" si="3"/>
        <v>0.60351125869161115</v>
      </c>
      <c r="T16" s="1">
        <f t="shared" si="3"/>
        <v>0.58322402923867678</v>
      </c>
      <c r="U16" s="1">
        <f t="shared" si="3"/>
        <v>0.56684690738623944</v>
      </c>
      <c r="V16" s="1">
        <f t="shared" si="3"/>
        <v>0.55388484503539415</v>
      </c>
      <c r="W16" s="1">
        <f t="shared" si="3"/>
        <v>0.54378517481693112</v>
      </c>
      <c r="X16" s="1">
        <f t="shared" si="3"/>
        <v>0.53601143337721624</v>
      </c>
      <c r="Y16" s="1">
        <f t="shared" si="3"/>
        <v>0.53008409142475099</v>
      </c>
      <c r="Z16" s="1">
        <f t="shared" si="3"/>
        <v>0.52559699357686585</v>
      </c>
      <c r="AA16" s="1">
        <f t="shared" si="3"/>
        <v>0.52221864965547171</v>
      </c>
    </row>
    <row r="17" spans="1:27" x14ac:dyDescent="0.3">
      <c r="A17" t="s">
        <v>35</v>
      </c>
      <c r="B17" s="1">
        <f>B7</f>
        <v>9.9999999999999915E-4</v>
      </c>
      <c r="C17" s="1">
        <f t="shared" ref="C17:AA17" si="4">C7</f>
        <v>5.4870978478851577E-3</v>
      </c>
      <c r="D17" s="1">
        <f t="shared" si="4"/>
        <v>1.1414439800350458E-2</v>
      </c>
      <c r="E17" s="1">
        <f t="shared" si="4"/>
        <v>1.9188181240065324E-2</v>
      </c>
      <c r="F17" s="1">
        <f t="shared" si="4"/>
        <v>2.9287851458528257E-2</v>
      </c>
      <c r="G17" s="1">
        <f t="shared" si="4"/>
        <v>4.2249913809373527E-2</v>
      </c>
      <c r="H17" s="1">
        <f t="shared" si="4"/>
        <v>5.8627035661810975E-2</v>
      </c>
      <c r="I17" s="1">
        <f t="shared" si="4"/>
        <v>7.8914265114745238E-2</v>
      </c>
      <c r="J17" s="1">
        <f t="shared" si="4"/>
        <v>0.10343911146205825</v>
      </c>
      <c r="K17" s="1">
        <f t="shared" si="4"/>
        <v>0.1322267518990651</v>
      </c>
      <c r="L17" s="1">
        <f t="shared" si="4"/>
        <v>0.16487335009866935</v>
      </c>
      <c r="M17" s="1">
        <f t="shared" si="4"/>
        <v>0.20048024480573759</v>
      </c>
      <c r="N17" s="1">
        <f t="shared" si="4"/>
        <v>0.23770150321156708</v>
      </c>
      <c r="O17" s="1">
        <f t="shared" si="4"/>
        <v>0.27492276161739659</v>
      </c>
      <c r="P17" s="1">
        <f t="shared" si="4"/>
        <v>0.31052965632446478</v>
      </c>
      <c r="Q17" s="1">
        <f t="shared" si="4"/>
        <v>0.34317625452406902</v>
      </c>
      <c r="R17" s="1">
        <f t="shared" si="4"/>
        <v>0.37196389496107585</v>
      </c>
      <c r="S17" s="1">
        <f t="shared" si="4"/>
        <v>0.3964887413083889</v>
      </c>
      <c r="T17" s="1">
        <f t="shared" si="4"/>
        <v>0.41677597076132322</v>
      </c>
      <c r="U17" s="1">
        <f t="shared" si="4"/>
        <v>0.43315309261376062</v>
      </c>
      <c r="V17" s="1">
        <f t="shared" si="4"/>
        <v>0.44611515496460591</v>
      </c>
      <c r="W17" s="1">
        <f t="shared" si="4"/>
        <v>0.45621482518306883</v>
      </c>
      <c r="X17" s="1">
        <f t="shared" si="4"/>
        <v>0.46398856662278376</v>
      </c>
      <c r="Y17" s="1">
        <f t="shared" si="4"/>
        <v>0.46991590857524901</v>
      </c>
      <c r="Z17" s="1">
        <f t="shared" si="4"/>
        <v>0.4744030064231341</v>
      </c>
      <c r="AA17" s="1">
        <f t="shared" si="4"/>
        <v>0.47778135034452834</v>
      </c>
    </row>
    <row r="21" spans="1:27" x14ac:dyDescent="0.3">
      <c r="A21" t="s">
        <v>170</v>
      </c>
    </row>
    <row r="22" spans="1:27" x14ac:dyDescent="0.3">
      <c r="A22" t="s">
        <v>73</v>
      </c>
      <c r="B22">
        <v>7.0000000000000007E-2</v>
      </c>
    </row>
    <row r="24" spans="1:27" x14ac:dyDescent="0.3">
      <c r="A24" t="s">
        <v>74</v>
      </c>
      <c r="B24" s="1">
        <f>EXP(-$B22*(B3-$B3))</f>
        <v>1</v>
      </c>
      <c r="C24" s="1">
        <f t="shared" ref="C24:AA24" si="5">EXP(-$B22*(C3-$B3))</f>
        <v>0.93239381990594827</v>
      </c>
      <c r="D24" s="1">
        <f t="shared" si="5"/>
        <v>0.86935823539880586</v>
      </c>
      <c r="E24" s="1">
        <f t="shared" si="5"/>
        <v>0.81058424597018708</v>
      </c>
      <c r="F24" s="1">
        <f t="shared" si="5"/>
        <v>0.75578374145572547</v>
      </c>
      <c r="G24" s="1">
        <f t="shared" si="5"/>
        <v>0.70468808971871344</v>
      </c>
      <c r="H24" s="1">
        <f t="shared" si="5"/>
        <v>0.65704681981505675</v>
      </c>
      <c r="I24" s="1">
        <f t="shared" si="5"/>
        <v>0.612626394184416</v>
      </c>
      <c r="J24" s="1">
        <f t="shared" si="5"/>
        <v>0.57120906384881487</v>
      </c>
      <c r="K24" s="1">
        <f t="shared" si="5"/>
        <v>0.53259180100689718</v>
      </c>
      <c r="L24" s="1">
        <f t="shared" si="5"/>
        <v>0.49658530379140947</v>
      </c>
      <c r="M24" s="1">
        <f t="shared" si="5"/>
        <v>0.46301306831122807</v>
      </c>
      <c r="N24" s="1">
        <f t="shared" si="5"/>
        <v>0.43171052342907967</v>
      </c>
      <c r="O24" s="1">
        <f t="shared" si="5"/>
        <v>0.40252422403363591</v>
      </c>
      <c r="P24" s="1">
        <f t="shared" si="5"/>
        <v>0.37531109885139952</v>
      </c>
      <c r="Q24" s="1">
        <f t="shared" si="5"/>
        <v>0.34993774911115533</v>
      </c>
      <c r="R24" s="1">
        <f t="shared" si="5"/>
        <v>0.32627979462303947</v>
      </c>
      <c r="S24" s="1">
        <f t="shared" si="5"/>
        <v>0.30422126406670402</v>
      </c>
      <c r="T24" s="1">
        <f t="shared" si="5"/>
        <v>0.28365402649977028</v>
      </c>
      <c r="U24" s="1">
        <f t="shared" si="5"/>
        <v>0.26447726129982396</v>
      </c>
      <c r="V24" s="1">
        <f t="shared" si="5"/>
        <v>0.24659696394160643</v>
      </c>
      <c r="W24" s="1">
        <f t="shared" si="5"/>
        <v>0.22992548518672379</v>
      </c>
      <c r="X24" s="1">
        <f t="shared" si="5"/>
        <v>0.21438110142697794</v>
      </c>
      <c r="Y24" s="1">
        <f t="shared" si="5"/>
        <v>0.19988761407514449</v>
      </c>
      <c r="Z24" s="1">
        <f t="shared" si="5"/>
        <v>0.18637397603940994</v>
      </c>
      <c r="AA24" s="1">
        <f t="shared" si="5"/>
        <v>0.17377394345044508</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41BC7-C213-3346-8FFB-7D433BDD9041}">
  <dimension ref="A4:AB43"/>
  <sheetViews>
    <sheetView tabSelected="1" zoomScale="70" zoomScaleNormal="70" workbookViewId="0">
      <selection activeCell="N24" sqref="N24"/>
    </sheetView>
  </sheetViews>
  <sheetFormatPr baseColWidth="10" defaultColWidth="11" defaultRowHeight="15.6" x14ac:dyDescent="0.3"/>
  <sheetData>
    <row r="4" spans="1:28" x14ac:dyDescent="0.3">
      <c r="B4">
        <v>2025</v>
      </c>
      <c r="C4">
        <f>B4+1</f>
        <v>2026</v>
      </c>
      <c r="D4">
        <f t="shared" ref="D4:AA4" si="0">C4+1</f>
        <v>2027</v>
      </c>
      <c r="E4">
        <f t="shared" si="0"/>
        <v>2028</v>
      </c>
      <c r="F4">
        <f t="shared" si="0"/>
        <v>2029</v>
      </c>
      <c r="G4">
        <f t="shared" si="0"/>
        <v>2030</v>
      </c>
      <c r="H4">
        <f t="shared" si="0"/>
        <v>2031</v>
      </c>
      <c r="I4">
        <f t="shared" si="0"/>
        <v>2032</v>
      </c>
      <c r="J4">
        <f t="shared" si="0"/>
        <v>2033</v>
      </c>
      <c r="K4">
        <f t="shared" si="0"/>
        <v>2034</v>
      </c>
      <c r="L4">
        <f t="shared" si="0"/>
        <v>2035</v>
      </c>
      <c r="M4">
        <f t="shared" si="0"/>
        <v>2036</v>
      </c>
      <c r="N4">
        <f t="shared" si="0"/>
        <v>2037</v>
      </c>
      <c r="O4">
        <f t="shared" si="0"/>
        <v>2038</v>
      </c>
      <c r="P4">
        <f t="shared" si="0"/>
        <v>2039</v>
      </c>
      <c r="Q4">
        <f t="shared" si="0"/>
        <v>2040</v>
      </c>
      <c r="R4">
        <f t="shared" si="0"/>
        <v>2041</v>
      </c>
      <c r="S4">
        <f t="shared" si="0"/>
        <v>2042</v>
      </c>
      <c r="T4">
        <f t="shared" si="0"/>
        <v>2043</v>
      </c>
      <c r="U4">
        <f t="shared" si="0"/>
        <v>2044</v>
      </c>
      <c r="V4">
        <f t="shared" si="0"/>
        <v>2045</v>
      </c>
      <c r="W4">
        <f t="shared" si="0"/>
        <v>2046</v>
      </c>
      <c r="X4">
        <f t="shared" si="0"/>
        <v>2047</v>
      </c>
      <c r="Y4">
        <f t="shared" si="0"/>
        <v>2048</v>
      </c>
      <c r="Z4">
        <f t="shared" si="0"/>
        <v>2049</v>
      </c>
      <c r="AA4">
        <f t="shared" si="0"/>
        <v>2050</v>
      </c>
    </row>
    <row r="5" spans="1:28" x14ac:dyDescent="0.3">
      <c r="A5" s="8" t="s">
        <v>101</v>
      </c>
      <c r="B5" s="9">
        <v>9.9999999999999915E-4</v>
      </c>
      <c r="C5" s="9">
        <v>5.4870978478851577E-3</v>
      </c>
      <c r="D5" s="9">
        <v>1.1414439800350458E-2</v>
      </c>
      <c r="E5" s="9">
        <v>1.9188181240065324E-2</v>
      </c>
      <c r="F5" s="9">
        <v>2.9287851458528257E-2</v>
      </c>
      <c r="G5" s="9">
        <v>4.2249913809373527E-2</v>
      </c>
      <c r="H5" s="9">
        <v>5.8627035661810975E-2</v>
      </c>
      <c r="I5" s="9">
        <v>7.8914265114745238E-2</v>
      </c>
      <c r="J5" s="9">
        <v>0.10343911146205825</v>
      </c>
      <c r="K5" s="9">
        <v>0.1322267518990651</v>
      </c>
      <c r="L5" s="9">
        <v>0.16487335009866935</v>
      </c>
      <c r="M5" s="9">
        <v>0.20048024480573759</v>
      </c>
      <c r="N5" s="9">
        <v>0.23770150321156708</v>
      </c>
      <c r="O5" s="9">
        <v>0.27492276161739659</v>
      </c>
      <c r="P5" s="9">
        <v>0.31052965632446478</v>
      </c>
      <c r="Q5" s="9">
        <v>0.34317625452406902</v>
      </c>
      <c r="R5" s="9">
        <v>0.37196389496107585</v>
      </c>
      <c r="S5" s="9">
        <v>0.3964887413083889</v>
      </c>
      <c r="T5" s="9">
        <v>0.41677597076132322</v>
      </c>
      <c r="U5" s="9">
        <v>0.43315309261376062</v>
      </c>
      <c r="V5" s="9">
        <v>0.44611515496460591</v>
      </c>
      <c r="W5" s="9">
        <v>0.45621482518306883</v>
      </c>
      <c r="X5" s="9">
        <v>0.46398856662278376</v>
      </c>
      <c r="Y5" s="9">
        <v>0.46991590857524901</v>
      </c>
      <c r="Z5" s="9">
        <v>0.4744030064231341</v>
      </c>
      <c r="AA5" s="9">
        <v>0.47778135034452834</v>
      </c>
      <c r="AB5" s="8"/>
    </row>
    <row r="6" spans="1:28" x14ac:dyDescent="0.3">
      <c r="A6" s="8" t="s">
        <v>100</v>
      </c>
      <c r="B6" s="9">
        <v>1E-3</v>
      </c>
      <c r="C6" s="9">
        <v>3.0265096163217811E-3</v>
      </c>
      <c r="D6" s="9">
        <v>5.7291847534371243E-3</v>
      </c>
      <c r="E6" s="9">
        <v>9.3188630317452489E-3</v>
      </c>
      <c r="F6" s="9">
        <v>1.4060736593717489E-2</v>
      </c>
      <c r="G6" s="9">
        <v>2.0279729745489382E-2</v>
      </c>
      <c r="H6" s="9">
        <v>2.835946592025973E-2</v>
      </c>
      <c r="I6" s="9">
        <v>3.8729115800935944E-2</v>
      </c>
      <c r="J6" s="9">
        <v>5.1830813282885906E-2</v>
      </c>
      <c r="K6" s="9">
        <v>6.8060596845233329E-2</v>
      </c>
      <c r="L6" s="9">
        <v>8.7680473923083743E-2</v>
      </c>
      <c r="M6" s="9">
        <v>0.11071058627268922</v>
      </c>
      <c r="N6" s="9">
        <v>0.13682786483237261</v>
      </c>
      <c r="O6" s="9">
        <v>0.16531338059802719</v>
      </c>
      <c r="P6" s="9">
        <v>0.19509038732269079</v>
      </c>
      <c r="Q6" s="9">
        <v>0.2248673940473544</v>
      </c>
      <c r="R6" s="9">
        <v>0.25335290981300895</v>
      </c>
      <c r="S6" s="9">
        <v>0.27947018837269239</v>
      </c>
      <c r="T6" s="9">
        <v>0.30250030072229783</v>
      </c>
      <c r="U6" s="9">
        <v>0.32212017780014823</v>
      </c>
      <c r="V6" s="9">
        <v>0.33834996136249573</v>
      </c>
      <c r="W6" s="9">
        <v>0.35145165884444562</v>
      </c>
      <c r="X6" s="9">
        <v>0.36182130872512186</v>
      </c>
      <c r="Y6" s="9">
        <v>0.36990104489989223</v>
      </c>
      <c r="Z6" s="9">
        <v>0.37612003805166411</v>
      </c>
      <c r="AA6" s="9">
        <v>0.38086191161363636</v>
      </c>
      <c r="AB6" s="8"/>
    </row>
    <row r="27" spans="1:28" x14ac:dyDescent="0.3">
      <c r="A27" t="s">
        <v>171</v>
      </c>
      <c r="B27" t="s">
        <v>100</v>
      </c>
      <c r="C27" s="7">
        <v>1167.4006939932058</v>
      </c>
      <c r="D27" s="7">
        <v>1199.675603475614</v>
      </c>
      <c r="E27" s="7">
        <v>1237.7801171915314</v>
      </c>
      <c r="F27" s="7">
        <v>1283.5283964886212</v>
      </c>
      <c r="G27" s="7">
        <v>1334.268579874313</v>
      </c>
      <c r="H27" s="7">
        <v>1391.1251941035448</v>
      </c>
      <c r="I27" s="7">
        <v>1462.496273401724</v>
      </c>
      <c r="J27" s="7">
        <v>1548.6565000501887</v>
      </c>
      <c r="K27" s="7">
        <v>1651.1009506030427</v>
      </c>
      <c r="L27" s="7">
        <v>1780.5394825207204</v>
      </c>
      <c r="M27" s="7">
        <v>1941.865885349539</v>
      </c>
      <c r="N27" s="7">
        <v>2137.2516823055307</v>
      </c>
      <c r="O27" s="7">
        <v>2374.5951758494843</v>
      </c>
      <c r="P27" s="7">
        <v>2656.9852350359661</v>
      </c>
      <c r="Q27" s="7">
        <v>2981.3830601091577</v>
      </c>
      <c r="R27" s="7">
        <v>3345.6091332785741</v>
      </c>
      <c r="S27" s="7">
        <v>3744.582980410843</v>
      </c>
      <c r="T27" s="7">
        <v>4169.699467426728</v>
      </c>
      <c r="U27" s="7">
        <v>4614.1525228932815</v>
      </c>
      <c r="V27" s="7">
        <v>5072.7957993238997</v>
      </c>
      <c r="W27" s="7">
        <v>5541.3148473215415</v>
      </c>
      <c r="X27" s="7">
        <v>6017.9345121600218</v>
      </c>
      <c r="Y27" s="7">
        <v>6502.9794592449571</v>
      </c>
      <c r="Z27" s="7">
        <v>6997.6769734556337</v>
      </c>
      <c r="AA27" s="7">
        <v>7504.297163778092</v>
      </c>
      <c r="AB27" s="7">
        <v>8025.6663978420975</v>
      </c>
    </row>
    <row r="28" spans="1:28" x14ac:dyDescent="0.3">
      <c r="B28" t="s">
        <v>101</v>
      </c>
      <c r="C28" s="7">
        <v>1167.4006939932058</v>
      </c>
      <c r="D28" s="7">
        <v>1204.0453649666333</v>
      </c>
      <c r="E28" s="7">
        <v>1247.9705930281245</v>
      </c>
      <c r="F28" s="7">
        <v>1302.6996355814695</v>
      </c>
      <c r="G28" s="7">
        <v>1374.6646736351024</v>
      </c>
      <c r="H28" s="7">
        <v>1456.8616512600188</v>
      </c>
      <c r="I28" s="7">
        <v>1559.2184011807219</v>
      </c>
      <c r="J28" s="7">
        <v>1694.3267723420133</v>
      </c>
      <c r="K28" s="7">
        <v>1858.0493716574133</v>
      </c>
      <c r="L28" s="7">
        <v>2058.2583936090914</v>
      </c>
      <c r="M28" s="7">
        <v>2307.6136320582796</v>
      </c>
      <c r="N28" s="7">
        <v>2602.6445589864729</v>
      </c>
      <c r="O28" s="7">
        <v>2941.8375983238493</v>
      </c>
      <c r="P28" s="7">
        <v>3326.8625692399173</v>
      </c>
      <c r="Q28" s="7">
        <v>3748.9682131178638</v>
      </c>
      <c r="R28" s="7">
        <v>4198.6698195559266</v>
      </c>
      <c r="S28" s="7">
        <v>4670.8944699609565</v>
      </c>
      <c r="T28" s="7">
        <v>5158.986013620729</v>
      </c>
      <c r="U28" s="7">
        <v>5657.7306447623905</v>
      </c>
      <c r="V28" s="7">
        <v>6166.0576169961942</v>
      </c>
      <c r="W28" s="7">
        <v>6684.0205527411626</v>
      </c>
      <c r="X28" s="7">
        <v>7212.6264006716956</v>
      </c>
      <c r="Y28" s="7">
        <v>7754.5187880360345</v>
      </c>
      <c r="Z28" s="7">
        <v>8312.7634878760309</v>
      </c>
      <c r="AA28" s="7">
        <v>8890.5639997339877</v>
      </c>
      <c r="AB28" s="7">
        <v>9491.2469894946626</v>
      </c>
    </row>
    <row r="35" spans="1:28" x14ac:dyDescent="0.3">
      <c r="B35" t="s">
        <v>101</v>
      </c>
      <c r="C35" s="1">
        <v>7</v>
      </c>
      <c r="D35" s="1">
        <v>6.7330637379058009</v>
      </c>
      <c r="E35" s="1">
        <v>6.4827285144828171</v>
      </c>
      <c r="F35" s="1">
        <v>6.2273242041467105</v>
      </c>
      <c r="G35" s="1">
        <v>5.9638595945624484</v>
      </c>
      <c r="H35" s="1">
        <v>5.6941943502979537</v>
      </c>
      <c r="I35" s="1">
        <v>5.4142949729395298</v>
      </c>
      <c r="J35" s="1">
        <v>5.122816898313058</v>
      </c>
      <c r="K35" s="1">
        <v>4.8211186904403673</v>
      </c>
      <c r="L35" s="1">
        <v>4.5106651026766968</v>
      </c>
      <c r="M35" s="1">
        <v>4.1947403184524772</v>
      </c>
      <c r="N35" s="1">
        <v>3.8795300064538392</v>
      </c>
      <c r="O35" s="1">
        <v>3.5724349174558059</v>
      </c>
      <c r="P35" s="1">
        <v>3.2807521651382641</v>
      </c>
      <c r="Q35" s="1">
        <v>3.0108959474013619</v>
      </c>
      <c r="R35" s="1">
        <v>2.7672916259769305</v>
      </c>
      <c r="S35" s="1">
        <v>2.5516703063855291</v>
      </c>
      <c r="T35" s="1">
        <v>2.3634593784932907</v>
      </c>
      <c r="U35" s="1">
        <v>2.2005826413739298</v>
      </c>
      <c r="V35" s="1">
        <v>2.0598797067143928</v>
      </c>
      <c r="W35" s="1">
        <v>1.9378183626685199</v>
      </c>
      <c r="X35" s="1">
        <v>1.8310956150216799</v>
      </c>
      <c r="Y35" s="1">
        <v>1.7365996691419483</v>
      </c>
      <c r="Z35" s="1">
        <v>1.6518458695987777</v>
      </c>
      <c r="AA35" s="1">
        <v>1.5749513786787261</v>
      </c>
      <c r="AB35" s="1">
        <v>1.5041890535329974</v>
      </c>
    </row>
    <row r="36" spans="1:28" x14ac:dyDescent="0.3">
      <c r="B36" t="s">
        <v>100</v>
      </c>
      <c r="C36" s="1">
        <v>7</v>
      </c>
      <c r="D36" s="1">
        <v>7.0957881131470639</v>
      </c>
      <c r="E36" s="1">
        <v>7.2057254674778628</v>
      </c>
      <c r="F36" s="1">
        <v>7.3069063946133674</v>
      </c>
      <c r="G36" s="1">
        <v>7.3971860099306657</v>
      </c>
      <c r="H36" s="1">
        <v>7.4775657971541838</v>
      </c>
      <c r="I36" s="1">
        <v>7.5412277089464288</v>
      </c>
      <c r="J36" s="1">
        <v>7.5838101682503183</v>
      </c>
      <c r="K36" s="1">
        <v>7.6025593514084804</v>
      </c>
      <c r="L36" s="1">
        <v>7.5926382548527176</v>
      </c>
      <c r="M36" s="1">
        <v>7.5497540318228262</v>
      </c>
      <c r="N36" s="1">
        <v>7.4729440536325358</v>
      </c>
      <c r="O36" s="1">
        <v>7.3639375548907964</v>
      </c>
      <c r="P36" s="1">
        <v>7.2273396358672874</v>
      </c>
      <c r="Q36" s="1">
        <v>7.0714850751290346</v>
      </c>
      <c r="R36" s="1">
        <v>6.907343419078007</v>
      </c>
      <c r="S36" s="1">
        <v>6.7461405593438668</v>
      </c>
      <c r="T36" s="1">
        <v>6.5978584741896871</v>
      </c>
      <c r="U36" s="1">
        <v>6.4703549458430611</v>
      </c>
      <c r="V36" s="1">
        <v>6.3679281647501327</v>
      </c>
      <c r="W36" s="1">
        <v>6.2916593738633919</v>
      </c>
      <c r="X36" s="1">
        <v>6.2406020923581638</v>
      </c>
      <c r="Y36" s="1">
        <v>6.2116904155438837</v>
      </c>
      <c r="Z36" s="1">
        <v>6.2016032053910051</v>
      </c>
      <c r="AA36" s="1">
        <v>6.2073383870205543</v>
      </c>
      <c r="AB36" s="1">
        <v>6.2250341337108983</v>
      </c>
    </row>
    <row r="42" spans="1:28" x14ac:dyDescent="0.3">
      <c r="A42" t="s">
        <v>172</v>
      </c>
      <c r="B42" t="s">
        <v>101</v>
      </c>
      <c r="C42">
        <v>0</v>
      </c>
      <c r="D42">
        <v>0.39341088347707964</v>
      </c>
      <c r="E42">
        <v>1.4183452315344438</v>
      </c>
      <c r="F42">
        <v>2.864284581166249</v>
      </c>
      <c r="G42">
        <v>4.5415673186108414</v>
      </c>
      <c r="H42">
        <v>6.2659365729375693</v>
      </c>
      <c r="I42">
        <v>7.9407895172174472</v>
      </c>
      <c r="J42">
        <v>9.4293503070561631</v>
      </c>
      <c r="K42">
        <v>10.594932521779665</v>
      </c>
      <c r="L42">
        <v>11.444630049106852</v>
      </c>
      <c r="M42">
        <v>11.95500788790233</v>
      </c>
      <c r="N42">
        <v>12.113973462771547</v>
      </c>
      <c r="O42">
        <v>12.023895415871937</v>
      </c>
      <c r="P42">
        <v>11.768150046850041</v>
      </c>
      <c r="Q42">
        <v>11.403844884465542</v>
      </c>
      <c r="R42">
        <v>11.007426612368523</v>
      </c>
      <c r="S42">
        <v>10.628599930035362</v>
      </c>
      <c r="T42">
        <v>10.287629903248751</v>
      </c>
      <c r="U42">
        <v>10.000188448584254</v>
      </c>
      <c r="V42">
        <v>9.7728521500771972</v>
      </c>
      <c r="W42">
        <v>9.604114296412126</v>
      </c>
      <c r="X42">
        <v>9.4926233688741366</v>
      </c>
      <c r="Y42">
        <v>9.4371889542058867</v>
      </c>
      <c r="Z42">
        <v>9.4373698121073044</v>
      </c>
      <c r="AA42">
        <v>9.4933875628723374</v>
      </c>
      <c r="AB42">
        <v>9.60618470929872</v>
      </c>
    </row>
    <row r="43" spans="1:28" x14ac:dyDescent="0.3">
      <c r="B43" t="s">
        <v>100</v>
      </c>
      <c r="C43">
        <v>0</v>
      </c>
      <c r="D43">
        <v>0.39341088347707964</v>
      </c>
      <c r="E43">
        <v>1.4235114867752556</v>
      </c>
      <c r="F43">
        <v>2.8878658476675465</v>
      </c>
      <c r="G43">
        <v>4.6094017920510444</v>
      </c>
      <c r="H43">
        <v>6.4556430271833758</v>
      </c>
      <c r="I43">
        <v>8.3160248821577873</v>
      </c>
      <c r="J43">
        <v>10.05295998173292</v>
      </c>
      <c r="K43">
        <v>11.591516790344796</v>
      </c>
      <c r="L43">
        <v>12.879096013982604</v>
      </c>
      <c r="M43">
        <v>13.819685310264674</v>
      </c>
      <c r="N43">
        <v>14.395623565966314</v>
      </c>
      <c r="O43">
        <v>14.642134214246399</v>
      </c>
      <c r="P43">
        <v>14.57932140292297</v>
      </c>
      <c r="Q43">
        <v>14.278974602970635</v>
      </c>
      <c r="R43">
        <v>13.841392282039175</v>
      </c>
      <c r="S43">
        <v>13.338671665641314</v>
      </c>
      <c r="T43">
        <v>12.832519368770246</v>
      </c>
      <c r="U43">
        <v>12.372793949022014</v>
      </c>
      <c r="V43">
        <v>11.983168051313809</v>
      </c>
      <c r="W43">
        <v>11.673941639792949</v>
      </c>
      <c r="X43">
        <v>11.450150631244956</v>
      </c>
      <c r="Y43">
        <v>11.310677785159443</v>
      </c>
      <c r="Z43">
        <v>11.253651034310229</v>
      </c>
      <c r="AA43">
        <v>11.277497633608355</v>
      </c>
      <c r="AB43">
        <v>11.380732677207689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1EB25-0915-4D07-A7F5-67B4F89F0DE6}">
  <dimension ref="A1:P31"/>
  <sheetViews>
    <sheetView workbookViewId="0"/>
  </sheetViews>
  <sheetFormatPr baseColWidth="10" defaultColWidth="8.796875" defaultRowHeight="15.6" x14ac:dyDescent="0.3"/>
  <cols>
    <col min="1" max="7" width="36.59765625" customWidth="1"/>
  </cols>
  <sheetData>
    <row r="1" spans="1:16" x14ac:dyDescent="0.3">
      <c r="A1" s="16" t="s">
        <v>109</v>
      </c>
    </row>
    <row r="2" spans="1:16" x14ac:dyDescent="0.3">
      <c r="P2" t="e">
        <f ca="1">_xll.CB.RecalcCounterFN()</f>
        <v>#NAME?</v>
      </c>
    </row>
    <row r="3" spans="1:16" x14ac:dyDescent="0.3">
      <c r="A3" t="s">
        <v>110</v>
      </c>
      <c r="B3" t="s">
        <v>111</v>
      </c>
      <c r="C3">
        <v>0</v>
      </c>
    </row>
    <row r="4" spans="1:16" x14ac:dyDescent="0.3">
      <c r="A4" t="s">
        <v>112</v>
      </c>
    </row>
    <row r="5" spans="1:16" x14ac:dyDescent="0.3">
      <c r="A5" t="s">
        <v>113</v>
      </c>
    </row>
    <row r="7" spans="1:16" x14ac:dyDescent="0.3">
      <c r="A7" s="16" t="s">
        <v>114</v>
      </c>
      <c r="B7" t="s">
        <v>115</v>
      </c>
    </row>
    <row r="8" spans="1:16" x14ac:dyDescent="0.3">
      <c r="B8">
        <v>7</v>
      </c>
    </row>
    <row r="10" spans="1:16" x14ac:dyDescent="0.3">
      <c r="A10" t="s">
        <v>116</v>
      </c>
    </row>
    <row r="11" spans="1:16" x14ac:dyDescent="0.3">
      <c r="A11" t="e">
        <f>CB_DATA_!#REF!</f>
        <v>#REF!</v>
      </c>
      <c r="B11" t="e">
        <f>OLD!#REF!</f>
        <v>#REF!</v>
      </c>
      <c r="C11" t="e">
        <f>NEW!#REF!</f>
        <v>#REF!</v>
      </c>
      <c r="D11" t="e">
        <f>ENERGY!#REF!</f>
        <v>#REF!</v>
      </c>
      <c r="E11" t="e">
        <f>TRANSITION!#REF!</f>
        <v>#REF!</v>
      </c>
      <c r="F11" t="e">
        <f>OUTPUT!#REF!</f>
        <v>#REF!</v>
      </c>
      <c r="G11" t="e">
        <f>'Figures OUTPUT'!#REF!</f>
        <v>#REF!</v>
      </c>
    </row>
    <row r="13" spans="1:16" x14ac:dyDescent="0.3">
      <c r="A13" t="s">
        <v>117</v>
      </c>
    </row>
    <row r="14" spans="1:16" x14ac:dyDescent="0.3">
      <c r="A14" t="s">
        <v>121</v>
      </c>
      <c r="B14" t="s">
        <v>125</v>
      </c>
      <c r="C14" t="s">
        <v>127</v>
      </c>
      <c r="D14" t="s">
        <v>128</v>
      </c>
      <c r="E14" t="s">
        <v>130</v>
      </c>
      <c r="F14" t="s">
        <v>131</v>
      </c>
      <c r="G14" t="s">
        <v>141</v>
      </c>
    </row>
    <row r="16" spans="1:16" x14ac:dyDescent="0.3">
      <c r="A16" t="s">
        <v>118</v>
      </c>
    </row>
    <row r="19" spans="1:7" x14ac:dyDescent="0.3">
      <c r="A19" t="s">
        <v>119</v>
      </c>
    </row>
    <row r="20" spans="1:7" x14ac:dyDescent="0.3">
      <c r="A20">
        <v>31</v>
      </c>
      <c r="B20">
        <v>31</v>
      </c>
      <c r="C20">
        <v>31</v>
      </c>
      <c r="D20">
        <v>31</v>
      </c>
      <c r="E20">
        <v>31</v>
      </c>
      <c r="F20">
        <v>31</v>
      </c>
      <c r="G20">
        <v>31</v>
      </c>
    </row>
    <row r="25" spans="1:7" x14ac:dyDescent="0.3">
      <c r="A25" s="16" t="s">
        <v>120</v>
      </c>
    </row>
    <row r="26" spans="1:7" x14ac:dyDescent="0.3">
      <c r="A26" s="17" t="s">
        <v>122</v>
      </c>
      <c r="B26" s="17" t="s">
        <v>126</v>
      </c>
      <c r="C26" s="17" t="s">
        <v>126</v>
      </c>
      <c r="D26" s="17" t="s">
        <v>126</v>
      </c>
      <c r="E26" s="17" t="s">
        <v>126</v>
      </c>
      <c r="F26" s="17" t="s">
        <v>126</v>
      </c>
      <c r="G26" s="17" t="s">
        <v>126</v>
      </c>
    </row>
    <row r="27" spans="1:7" x14ac:dyDescent="0.3">
      <c r="A27" t="s">
        <v>123</v>
      </c>
      <c r="B27" t="s">
        <v>150</v>
      </c>
      <c r="C27" t="s">
        <v>153</v>
      </c>
      <c r="D27" t="s">
        <v>147</v>
      </c>
      <c r="E27" t="s">
        <v>148</v>
      </c>
      <c r="F27" t="s">
        <v>154</v>
      </c>
      <c r="G27" t="s">
        <v>151</v>
      </c>
    </row>
    <row r="28" spans="1:7" x14ac:dyDescent="0.3">
      <c r="A28" s="17" t="s">
        <v>124</v>
      </c>
      <c r="B28" s="17" t="s">
        <v>124</v>
      </c>
      <c r="C28" s="17" t="s">
        <v>124</v>
      </c>
      <c r="D28" s="17" t="s">
        <v>124</v>
      </c>
      <c r="E28" s="17" t="s">
        <v>124</v>
      </c>
      <c r="F28" s="17" t="s">
        <v>124</v>
      </c>
      <c r="G28" s="17" t="s">
        <v>124</v>
      </c>
    </row>
    <row r="29" spans="1:7" x14ac:dyDescent="0.3">
      <c r="A29" s="17" t="s">
        <v>126</v>
      </c>
      <c r="B29" s="17" t="s">
        <v>122</v>
      </c>
      <c r="C29" s="17" t="s">
        <v>122</v>
      </c>
      <c r="D29" s="17" t="s">
        <v>122</v>
      </c>
      <c r="E29" s="17" t="s">
        <v>122</v>
      </c>
      <c r="F29" s="17" t="s">
        <v>122</v>
      </c>
      <c r="G29" s="17" t="s">
        <v>122</v>
      </c>
    </row>
    <row r="30" spans="1:7" x14ac:dyDescent="0.3">
      <c r="A30" t="s">
        <v>152</v>
      </c>
      <c r="B30" t="s">
        <v>133</v>
      </c>
      <c r="C30" t="s">
        <v>132</v>
      </c>
      <c r="D30" t="s">
        <v>129</v>
      </c>
      <c r="E30" t="s">
        <v>134</v>
      </c>
      <c r="F30" t="s">
        <v>135</v>
      </c>
      <c r="G30" t="s">
        <v>142</v>
      </c>
    </row>
    <row r="31" spans="1:7" x14ac:dyDescent="0.3">
      <c r="A31" s="17" t="s">
        <v>124</v>
      </c>
      <c r="B31" s="17" t="s">
        <v>124</v>
      </c>
      <c r="C31" s="17" t="s">
        <v>124</v>
      </c>
      <c r="D31" s="17" t="s">
        <v>124</v>
      </c>
      <c r="E31" s="17" t="s">
        <v>124</v>
      </c>
      <c r="F31" s="17" t="s">
        <v>124</v>
      </c>
      <c r="G31" s="17"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68EBD-9D74-C14D-8AB4-100A05EA8BD2}">
  <dimension ref="B3:AB36"/>
  <sheetViews>
    <sheetView zoomScale="55" zoomScaleNormal="55" workbookViewId="0">
      <selection activeCell="C29" sqref="C29"/>
    </sheetView>
  </sheetViews>
  <sheetFormatPr baseColWidth="10" defaultColWidth="11" defaultRowHeight="15.6" x14ac:dyDescent="0.3"/>
  <cols>
    <col min="2" max="2" width="24.19921875" customWidth="1"/>
    <col min="3" max="3" width="11.69921875" bestFit="1" customWidth="1"/>
  </cols>
  <sheetData>
    <row r="3" spans="2:28" ht="18" x14ac:dyDescent="0.35">
      <c r="B3" s="2" t="s">
        <v>8</v>
      </c>
    </row>
    <row r="5" spans="2:28" x14ac:dyDescent="0.3">
      <c r="B5" t="s">
        <v>25</v>
      </c>
      <c r="C5" s="18">
        <v>0.15</v>
      </c>
    </row>
    <row r="6" spans="2:28" x14ac:dyDescent="0.3">
      <c r="B6" t="s">
        <v>10</v>
      </c>
      <c r="C6" s="11">
        <v>0.2</v>
      </c>
    </row>
    <row r="7" spans="2:28" x14ac:dyDescent="0.3">
      <c r="B7" t="s">
        <v>45</v>
      </c>
      <c r="C7" s="11">
        <v>0.1</v>
      </c>
    </row>
    <row r="8" spans="2:28" x14ac:dyDescent="0.3">
      <c r="B8" t="s">
        <v>48</v>
      </c>
      <c r="C8" s="11">
        <v>2</v>
      </c>
    </row>
    <row r="9" spans="2:28" x14ac:dyDescent="0.3">
      <c r="C9" s="11"/>
    </row>
    <row r="10" spans="2:28" x14ac:dyDescent="0.3">
      <c r="B10" t="s">
        <v>44</v>
      </c>
      <c r="C10" s="12">
        <f>C6</f>
        <v>0.2</v>
      </c>
      <c r="D10" s="1">
        <f>$C10*EXP($C14*(D16-$C16))</f>
        <v>0.19771173452992916</v>
      </c>
      <c r="E10" s="1">
        <f t="shared" ref="E10:AB10" si="0">$C10*EXP($C14*(E16-$C16))</f>
        <v>0.19544964985416591</v>
      </c>
      <c r="F10" s="1">
        <f t="shared" si="0"/>
        <v>0.19321344642967225</v>
      </c>
      <c r="G10" s="1">
        <f t="shared" si="0"/>
        <v>0.19100282814058023</v>
      </c>
      <c r="H10" s="1">
        <f t="shared" si="0"/>
        <v>0.18881750225898042</v>
      </c>
      <c r="I10" s="1">
        <f t="shared" si="0"/>
        <v>0.18665717940615914</v>
      </c>
      <c r="J10" s="1">
        <f t="shared" si="0"/>
        <v>0.18452157351427947</v>
      </c>
      <c r="K10" s="1">
        <f t="shared" si="0"/>
        <v>0.18241040178850015</v>
      </c>
      <c r="L10" s="1">
        <f t="shared" si="0"/>
        <v>0.18032338466952827</v>
      </c>
      <c r="M10" s="1">
        <f t="shared" si="0"/>
        <v>0.17826024579660033</v>
      </c>
      <c r="N10" s="1">
        <f t="shared" si="0"/>
        <v>0.17622071197088682</v>
      </c>
      <c r="O10" s="1">
        <f t="shared" si="0"/>
        <v>0.1742045131193154</v>
      </c>
      <c r="P10" s="1">
        <f t="shared" si="0"/>
        <v>0.17221138225880825</v>
      </c>
      <c r="Q10" s="1">
        <f t="shared" si="0"/>
        <v>0.17024105546092821</v>
      </c>
      <c r="R10" s="1">
        <f t="shared" si="0"/>
        <v>0.16829327181692991</v>
      </c>
      <c r="S10" s="1">
        <f t="shared" si="0"/>
        <v>0.16636777340321027</v>
      </c>
      <c r="T10" s="1">
        <f t="shared" si="0"/>
        <v>0.16446430524715458</v>
      </c>
      <c r="U10" s="1">
        <f t="shared" si="0"/>
        <v>0.16258261529337328</v>
      </c>
      <c r="V10" s="1">
        <f t="shared" si="0"/>
        <v>0.16072245437032509</v>
      </c>
      <c r="W10" s="1">
        <f t="shared" si="0"/>
        <v>0.15888357615732185</v>
      </c>
      <c r="X10" s="1">
        <f t="shared" si="0"/>
        <v>0.15706573715191097</v>
      </c>
      <c r="Y10" s="1">
        <f t="shared" si="0"/>
        <v>0.15526869663763124</v>
      </c>
      <c r="Z10" s="1">
        <f t="shared" si="0"/>
        <v>0.15349221665213728</v>
      </c>
      <c r="AA10" s="1">
        <f t="shared" si="0"/>
        <v>0.15173606195568867</v>
      </c>
      <c r="AB10" s="1">
        <f t="shared" si="0"/>
        <v>0.15</v>
      </c>
    </row>
    <row r="11" spans="2:28" x14ac:dyDescent="0.3">
      <c r="B11" t="s">
        <v>47</v>
      </c>
      <c r="C11" s="12">
        <f>C10*$C8</f>
        <v>0.4</v>
      </c>
      <c r="D11" s="13">
        <f>(D10*(1+C36))*$C8</f>
        <v>0.39740058640515757</v>
      </c>
      <c r="E11" s="13">
        <f t="shared" ref="E11:AB11" si="1">(E10*(1+D36))*$C8</f>
        <v>0.39285379620687344</v>
      </c>
      <c r="F11" s="13">
        <f t="shared" si="1"/>
        <v>0.38838476895582669</v>
      </c>
      <c r="G11" s="13">
        <f t="shared" si="1"/>
        <v>0.3841405583120503</v>
      </c>
      <c r="H11" s="13">
        <f t="shared" si="1"/>
        <v>0.37965563656593859</v>
      </c>
      <c r="I11" s="13">
        <f t="shared" si="1"/>
        <v>0.37518366715189894</v>
      </c>
      <c r="J11" s="13">
        <f t="shared" si="1"/>
        <v>0.37080178444712714</v>
      </c>
      <c r="K11" s="13">
        <f t="shared" si="1"/>
        <v>0.3664110814604033</v>
      </c>
      <c r="L11" s="13">
        <f t="shared" si="1"/>
        <v>0.36203718584241501</v>
      </c>
      <c r="M11" s="13">
        <f t="shared" si="1"/>
        <v>0.35770813945974234</v>
      </c>
      <c r="N11" s="13">
        <f t="shared" si="1"/>
        <v>0.35341104685139585</v>
      </c>
      <c r="O11" s="13">
        <f t="shared" si="1"/>
        <v>0.34915662270853054</v>
      </c>
      <c r="P11" s="13">
        <f t="shared" si="1"/>
        <v>0.34497315813013357</v>
      </c>
      <c r="Q11" s="13">
        <f t="shared" si="1"/>
        <v>0.3408781664192353</v>
      </c>
      <c r="R11" s="13">
        <f t="shared" si="1"/>
        <v>0.33688462851710332</v>
      </c>
      <c r="S11" s="13">
        <f t="shared" si="1"/>
        <v>0.33300446624141555</v>
      </c>
      <c r="T11" s="13">
        <f t="shared" si="1"/>
        <v>0.32923775271210215</v>
      </c>
      <c r="U11" s="13">
        <f t="shared" si="1"/>
        <v>0.32557042256348112</v>
      </c>
      <c r="V11" s="13">
        <f t="shared" si="1"/>
        <v>0.32198393169524109</v>
      </c>
      <c r="W11" s="13">
        <f t="shared" si="1"/>
        <v>0.31846064919571498</v>
      </c>
      <c r="X11" s="13">
        <f t="shared" si="1"/>
        <v>0.31498067868986601</v>
      </c>
      <c r="Y11" s="13">
        <f t="shared" si="1"/>
        <v>0.311529379248076</v>
      </c>
      <c r="Z11" s="13">
        <f t="shared" si="1"/>
        <v>0.3081003348360104</v>
      </c>
      <c r="AA11" s="13">
        <f t="shared" si="1"/>
        <v>0.30468661309695472</v>
      </c>
      <c r="AB11" s="13">
        <f t="shared" si="1"/>
        <v>0.30128977933380613</v>
      </c>
    </row>
    <row r="12" spans="2:28" x14ac:dyDescent="0.3">
      <c r="B12" t="s">
        <v>49</v>
      </c>
      <c r="C12" s="12">
        <v>1</v>
      </c>
      <c r="D12" s="1">
        <f>C12</f>
        <v>1</v>
      </c>
      <c r="E12" s="1">
        <f t="shared" ref="E12:AB12" si="2">D12</f>
        <v>1</v>
      </c>
      <c r="F12" s="1">
        <f t="shared" si="2"/>
        <v>1</v>
      </c>
      <c r="G12" s="1">
        <f t="shared" si="2"/>
        <v>1</v>
      </c>
      <c r="H12" s="1">
        <f t="shared" si="2"/>
        <v>1</v>
      </c>
      <c r="I12" s="1">
        <f t="shared" si="2"/>
        <v>1</v>
      </c>
      <c r="J12" s="1">
        <f t="shared" si="2"/>
        <v>1</v>
      </c>
      <c r="K12" s="1">
        <f t="shared" si="2"/>
        <v>1</v>
      </c>
      <c r="L12" s="1">
        <f t="shared" si="2"/>
        <v>1</v>
      </c>
      <c r="M12" s="1">
        <f t="shared" si="2"/>
        <v>1</v>
      </c>
      <c r="N12" s="1">
        <f t="shared" si="2"/>
        <v>1</v>
      </c>
      <c r="O12" s="1">
        <f t="shared" si="2"/>
        <v>1</v>
      </c>
      <c r="P12" s="1">
        <f t="shared" si="2"/>
        <v>1</v>
      </c>
      <c r="Q12" s="1">
        <f t="shared" si="2"/>
        <v>1</v>
      </c>
      <c r="R12" s="1">
        <f t="shared" si="2"/>
        <v>1</v>
      </c>
      <c r="S12" s="1">
        <f t="shared" si="2"/>
        <v>1</v>
      </c>
      <c r="T12" s="1">
        <f t="shared" si="2"/>
        <v>1</v>
      </c>
      <c r="U12" s="1">
        <f t="shared" si="2"/>
        <v>1</v>
      </c>
      <c r="V12" s="1">
        <f t="shared" si="2"/>
        <v>1</v>
      </c>
      <c r="W12" s="1">
        <f t="shared" si="2"/>
        <v>1</v>
      </c>
      <c r="X12" s="1">
        <f t="shared" si="2"/>
        <v>1</v>
      </c>
      <c r="Y12" s="1">
        <f t="shared" si="2"/>
        <v>1</v>
      </c>
      <c r="Z12" s="1">
        <f t="shared" si="2"/>
        <v>1</v>
      </c>
      <c r="AA12" s="1">
        <f t="shared" si="2"/>
        <v>1</v>
      </c>
      <c r="AB12" s="1">
        <f t="shared" si="2"/>
        <v>1</v>
      </c>
    </row>
    <row r="14" spans="2:28" x14ac:dyDescent="0.3">
      <c r="B14" t="s">
        <v>9</v>
      </c>
      <c r="C14">
        <f>LN(C5/C6)/(AB16-C16)</f>
        <v>-1.1507282898071243E-2</v>
      </c>
    </row>
    <row r="16" spans="2:28" x14ac:dyDescent="0.3">
      <c r="B16" t="s">
        <v>6</v>
      </c>
      <c r="C16">
        <v>2025</v>
      </c>
      <c r="D16">
        <f>C16+1</f>
        <v>2026</v>
      </c>
      <c r="E16">
        <f t="shared" ref="E16:AB16" si="3">D16+1</f>
        <v>2027</v>
      </c>
      <c r="F16">
        <f t="shared" si="3"/>
        <v>2028</v>
      </c>
      <c r="G16">
        <f t="shared" si="3"/>
        <v>2029</v>
      </c>
      <c r="H16">
        <f t="shared" si="3"/>
        <v>2030</v>
      </c>
      <c r="I16">
        <f t="shared" si="3"/>
        <v>2031</v>
      </c>
      <c r="J16">
        <f t="shared" si="3"/>
        <v>2032</v>
      </c>
      <c r="K16">
        <f t="shared" si="3"/>
        <v>2033</v>
      </c>
      <c r="L16">
        <f t="shared" si="3"/>
        <v>2034</v>
      </c>
      <c r="M16">
        <f t="shared" si="3"/>
        <v>2035</v>
      </c>
      <c r="N16">
        <f t="shared" si="3"/>
        <v>2036</v>
      </c>
      <c r="O16">
        <f t="shared" si="3"/>
        <v>2037</v>
      </c>
      <c r="P16">
        <f t="shared" si="3"/>
        <v>2038</v>
      </c>
      <c r="Q16">
        <f t="shared" si="3"/>
        <v>2039</v>
      </c>
      <c r="R16">
        <f t="shared" si="3"/>
        <v>2040</v>
      </c>
      <c r="S16">
        <f t="shared" si="3"/>
        <v>2041</v>
      </c>
      <c r="T16">
        <f t="shared" si="3"/>
        <v>2042</v>
      </c>
      <c r="U16">
        <f t="shared" si="3"/>
        <v>2043</v>
      </c>
      <c r="V16">
        <f t="shared" si="3"/>
        <v>2044</v>
      </c>
      <c r="W16">
        <f t="shared" si="3"/>
        <v>2045</v>
      </c>
      <c r="X16">
        <f t="shared" si="3"/>
        <v>2046</v>
      </c>
      <c r="Y16">
        <f t="shared" si="3"/>
        <v>2047</v>
      </c>
      <c r="Z16">
        <f t="shared" si="3"/>
        <v>2048</v>
      </c>
      <c r="AA16">
        <f t="shared" si="3"/>
        <v>2049</v>
      </c>
      <c r="AB16">
        <f t="shared" si="3"/>
        <v>2050</v>
      </c>
    </row>
    <row r="17" spans="2:28" x14ac:dyDescent="0.3">
      <c r="B17" t="s">
        <v>5</v>
      </c>
      <c r="C17">
        <f>H17/100</f>
        <v>6.4000000000000003E-3</v>
      </c>
      <c r="E17" t="s">
        <v>149</v>
      </c>
      <c r="H17" s="19">
        <v>0.64</v>
      </c>
    </row>
    <row r="18" spans="2:28" x14ac:dyDescent="0.3">
      <c r="B18" t="s">
        <v>0</v>
      </c>
      <c r="C18">
        <v>1.95</v>
      </c>
      <c r="D18" s="1">
        <f>C18*EXP($C17)</f>
        <v>1.9625200213332896</v>
      </c>
      <c r="E18" s="1">
        <f t="shared" ref="E18:AB18" si="4">D18*EXP($C17)</f>
        <v>1.9751204277610337</v>
      </c>
      <c r="F18" s="1">
        <f t="shared" si="4"/>
        <v>1.9878017353976412</v>
      </c>
      <c r="G18" s="1">
        <f t="shared" si="4"/>
        <v>2.0005644636712456</v>
      </c>
      <c r="H18" s="1">
        <f t="shared" si="4"/>
        <v>2.0134091353449817</v>
      </c>
      <c r="I18" s="1">
        <f t="shared" si="4"/>
        <v>2.0263362765383968</v>
      </c>
      <c r="J18" s="1">
        <f t="shared" si="4"/>
        <v>2.0393464167490016</v>
      </c>
      <c r="K18" s="1">
        <f t="shared" si="4"/>
        <v>2.0524400888739582</v>
      </c>
      <c r="L18" s="1">
        <f t="shared" si="4"/>
        <v>2.0656178292319076</v>
      </c>
      <c r="M18" s="1">
        <f t="shared" si="4"/>
        <v>2.0788801775849368</v>
      </c>
      <c r="N18" s="1">
        <f t="shared" si="4"/>
        <v>2.0922276771606887</v>
      </c>
      <c r="O18" s="1">
        <f t="shared" si="4"/>
        <v>2.1056608746746122</v>
      </c>
      <c r="P18" s="1">
        <f t="shared" si="4"/>
        <v>2.1191803203523554</v>
      </c>
      <c r="Q18" s="1">
        <f t="shared" si="4"/>
        <v>2.1327865679523037</v>
      </c>
      <c r="R18" s="1">
        <f t="shared" si="4"/>
        <v>2.1464801747882607</v>
      </c>
      <c r="S18" s="1">
        <f t="shared" si="4"/>
        <v>2.1602617017522774</v>
      </c>
      <c r="T18" s="1">
        <f t="shared" si="4"/>
        <v>2.1741317133376246</v>
      </c>
      <c r="U18" s="1">
        <f t="shared" si="4"/>
        <v>2.1880907776619161</v>
      </c>
      <c r="V18" s="1">
        <f t="shared" si="4"/>
        <v>2.2021394664903786</v>
      </c>
      <c r="W18" s="1">
        <f t="shared" si="4"/>
        <v>2.2162783552592704</v>
      </c>
      <c r="X18" s="1">
        <f t="shared" si="4"/>
        <v>2.2305080230994521</v>
      </c>
      <c r="Y18" s="1">
        <f t="shared" si="4"/>
        <v>2.244829052860108</v>
      </c>
      <c r="Z18" s="1">
        <f t="shared" si="4"/>
        <v>2.2592420311326191</v>
      </c>
      <c r="AA18" s="1">
        <f t="shared" si="4"/>
        <v>2.2737475482745908</v>
      </c>
      <c r="AB18" s="1">
        <f t="shared" si="4"/>
        <v>2.2883461984340334</v>
      </c>
    </row>
    <row r="19" spans="2:28" x14ac:dyDescent="0.3">
      <c r="B19" t="s">
        <v>1</v>
      </c>
      <c r="C19">
        <v>0.4</v>
      </c>
      <c r="D19">
        <f>C19</f>
        <v>0.4</v>
      </c>
      <c r="E19">
        <f t="shared" ref="E19:AB20" si="5">D19</f>
        <v>0.4</v>
      </c>
      <c r="F19">
        <f t="shared" si="5"/>
        <v>0.4</v>
      </c>
      <c r="G19">
        <f t="shared" si="5"/>
        <v>0.4</v>
      </c>
      <c r="H19">
        <f t="shared" si="5"/>
        <v>0.4</v>
      </c>
      <c r="I19">
        <f t="shared" si="5"/>
        <v>0.4</v>
      </c>
      <c r="J19">
        <f t="shared" si="5"/>
        <v>0.4</v>
      </c>
      <c r="K19">
        <f t="shared" si="5"/>
        <v>0.4</v>
      </c>
      <c r="L19">
        <f t="shared" si="5"/>
        <v>0.4</v>
      </c>
      <c r="M19">
        <f t="shared" si="5"/>
        <v>0.4</v>
      </c>
      <c r="N19">
        <f t="shared" si="5"/>
        <v>0.4</v>
      </c>
      <c r="O19">
        <f t="shared" si="5"/>
        <v>0.4</v>
      </c>
      <c r="P19">
        <f t="shared" si="5"/>
        <v>0.4</v>
      </c>
      <c r="Q19">
        <f t="shared" si="5"/>
        <v>0.4</v>
      </c>
      <c r="R19">
        <f t="shared" si="5"/>
        <v>0.4</v>
      </c>
      <c r="S19">
        <f t="shared" si="5"/>
        <v>0.4</v>
      </c>
      <c r="T19">
        <f t="shared" si="5"/>
        <v>0.4</v>
      </c>
      <c r="U19">
        <f t="shared" si="5"/>
        <v>0.4</v>
      </c>
      <c r="V19">
        <f t="shared" si="5"/>
        <v>0.4</v>
      </c>
      <c r="W19">
        <f t="shared" si="5"/>
        <v>0.4</v>
      </c>
      <c r="X19">
        <f t="shared" si="5"/>
        <v>0.4</v>
      </c>
      <c r="Y19">
        <f t="shared" si="5"/>
        <v>0.4</v>
      </c>
      <c r="Z19">
        <f t="shared" si="5"/>
        <v>0.4</v>
      </c>
      <c r="AA19">
        <f t="shared" si="5"/>
        <v>0.4</v>
      </c>
      <c r="AB19">
        <f t="shared" si="5"/>
        <v>0.4</v>
      </c>
    </row>
    <row r="20" spans="2:28" x14ac:dyDescent="0.3">
      <c r="B20" t="s">
        <v>2</v>
      </c>
      <c r="C20">
        <v>7.0000000000000007E-2</v>
      </c>
      <c r="D20">
        <f t="shared" ref="D20:AA20" si="6">C20</f>
        <v>7.0000000000000007E-2</v>
      </c>
      <c r="E20">
        <f t="shared" si="6"/>
        <v>7.0000000000000007E-2</v>
      </c>
      <c r="F20">
        <f t="shared" si="6"/>
        <v>7.0000000000000007E-2</v>
      </c>
      <c r="G20">
        <f t="shared" si="6"/>
        <v>7.0000000000000007E-2</v>
      </c>
      <c r="H20">
        <f t="shared" si="6"/>
        <v>7.0000000000000007E-2</v>
      </c>
      <c r="I20">
        <f t="shared" si="6"/>
        <v>7.0000000000000007E-2</v>
      </c>
      <c r="J20">
        <f t="shared" si="6"/>
        <v>7.0000000000000007E-2</v>
      </c>
      <c r="K20">
        <f t="shared" si="6"/>
        <v>7.0000000000000007E-2</v>
      </c>
      <c r="L20">
        <f t="shared" si="6"/>
        <v>7.0000000000000007E-2</v>
      </c>
      <c r="M20">
        <f t="shared" si="6"/>
        <v>7.0000000000000007E-2</v>
      </c>
      <c r="N20">
        <f t="shared" si="6"/>
        <v>7.0000000000000007E-2</v>
      </c>
      <c r="O20">
        <f t="shared" si="6"/>
        <v>7.0000000000000007E-2</v>
      </c>
      <c r="P20">
        <f t="shared" si="6"/>
        <v>7.0000000000000007E-2</v>
      </c>
      <c r="Q20">
        <f t="shared" si="6"/>
        <v>7.0000000000000007E-2</v>
      </c>
      <c r="R20">
        <f t="shared" si="6"/>
        <v>7.0000000000000007E-2</v>
      </c>
      <c r="S20">
        <f t="shared" si="6"/>
        <v>7.0000000000000007E-2</v>
      </c>
      <c r="T20">
        <f t="shared" si="6"/>
        <v>7.0000000000000007E-2</v>
      </c>
      <c r="U20">
        <f t="shared" si="6"/>
        <v>7.0000000000000007E-2</v>
      </c>
      <c r="V20">
        <f t="shared" si="6"/>
        <v>7.0000000000000007E-2</v>
      </c>
      <c r="W20">
        <f t="shared" si="6"/>
        <v>7.0000000000000007E-2</v>
      </c>
      <c r="X20">
        <f t="shared" si="6"/>
        <v>7.0000000000000007E-2</v>
      </c>
      <c r="Y20">
        <f t="shared" si="6"/>
        <v>7.0000000000000007E-2</v>
      </c>
      <c r="Z20">
        <f t="shared" si="6"/>
        <v>7.0000000000000007E-2</v>
      </c>
      <c r="AA20">
        <f t="shared" si="6"/>
        <v>7.0000000000000007E-2</v>
      </c>
      <c r="AB20">
        <f t="shared" si="5"/>
        <v>7.0000000000000007E-2</v>
      </c>
    </row>
    <row r="21" spans="2:28" x14ac:dyDescent="0.3">
      <c r="B21" t="s">
        <v>3</v>
      </c>
      <c r="C21" s="1">
        <f>C11*C12</f>
        <v>0.4</v>
      </c>
      <c r="D21" s="1">
        <f t="shared" ref="D21:AB21" si="7">D11*D12</f>
        <v>0.39740058640515757</v>
      </c>
      <c r="E21" s="1">
        <f t="shared" si="7"/>
        <v>0.39285379620687344</v>
      </c>
      <c r="F21" s="1">
        <f t="shared" si="7"/>
        <v>0.38838476895582669</v>
      </c>
      <c r="G21" s="1">
        <f t="shared" si="7"/>
        <v>0.3841405583120503</v>
      </c>
      <c r="H21" s="1">
        <f t="shared" si="7"/>
        <v>0.37965563656593859</v>
      </c>
      <c r="I21" s="1">
        <f t="shared" si="7"/>
        <v>0.37518366715189894</v>
      </c>
      <c r="J21" s="1">
        <f t="shared" si="7"/>
        <v>0.37080178444712714</v>
      </c>
      <c r="K21" s="1">
        <f t="shared" si="7"/>
        <v>0.3664110814604033</v>
      </c>
      <c r="L21" s="1">
        <f t="shared" si="7"/>
        <v>0.36203718584241501</v>
      </c>
      <c r="M21" s="1">
        <f t="shared" si="7"/>
        <v>0.35770813945974234</v>
      </c>
      <c r="N21" s="1">
        <f t="shared" si="7"/>
        <v>0.35341104685139585</v>
      </c>
      <c r="O21" s="1">
        <f t="shared" si="7"/>
        <v>0.34915662270853054</v>
      </c>
      <c r="P21" s="1">
        <f t="shared" si="7"/>
        <v>0.34497315813013357</v>
      </c>
      <c r="Q21" s="1">
        <f t="shared" si="7"/>
        <v>0.3408781664192353</v>
      </c>
      <c r="R21" s="1">
        <f t="shared" si="7"/>
        <v>0.33688462851710332</v>
      </c>
      <c r="S21" s="1">
        <f t="shared" si="7"/>
        <v>0.33300446624141555</v>
      </c>
      <c r="T21" s="1">
        <f t="shared" si="7"/>
        <v>0.32923775271210215</v>
      </c>
      <c r="U21" s="1">
        <f t="shared" si="7"/>
        <v>0.32557042256348112</v>
      </c>
      <c r="V21" s="1">
        <f t="shared" si="7"/>
        <v>0.32198393169524109</v>
      </c>
      <c r="W21" s="1">
        <f t="shared" si="7"/>
        <v>0.31846064919571498</v>
      </c>
      <c r="X21" s="1">
        <f t="shared" si="7"/>
        <v>0.31498067868986601</v>
      </c>
      <c r="Y21" s="1">
        <f t="shared" si="7"/>
        <v>0.311529379248076</v>
      </c>
      <c r="Z21" s="1">
        <f t="shared" si="7"/>
        <v>0.3081003348360104</v>
      </c>
      <c r="AA21" s="1">
        <f t="shared" si="7"/>
        <v>0.30468661309695472</v>
      </c>
      <c r="AB21" s="1">
        <f t="shared" si="7"/>
        <v>0.30128977933380613</v>
      </c>
    </row>
    <row r="23" spans="2:28" x14ac:dyDescent="0.3">
      <c r="C23">
        <f>C18*C19/(C20+C21)</f>
        <v>1.6595744680851063</v>
      </c>
      <c r="D23" s="1">
        <f>D18*D19/(D20+D21)</f>
        <v>1.6795186642167499</v>
      </c>
      <c r="E23" s="1">
        <f t="shared" ref="E23:AB23" si="8">E18*E19/(E20+E21)</f>
        <v>1.7069065384770008</v>
      </c>
      <c r="F23" s="1">
        <f t="shared" si="8"/>
        <v>1.734614123349461</v>
      </c>
      <c r="G23" s="1">
        <f t="shared" si="8"/>
        <v>1.7620663268719658</v>
      </c>
      <c r="H23" s="1">
        <f t="shared" si="8"/>
        <v>1.7910676274151236</v>
      </c>
      <c r="I23" s="1">
        <f t="shared" si="8"/>
        <v>1.8206744101840562</v>
      </c>
      <c r="J23" s="1">
        <f t="shared" si="8"/>
        <v>1.8505790935550217</v>
      </c>
      <c r="K23" s="1">
        <f t="shared" si="8"/>
        <v>1.8811988751575104</v>
      </c>
      <c r="L23" s="1">
        <f t="shared" si="8"/>
        <v>1.9124444810964387</v>
      </c>
      <c r="M23" s="1">
        <f t="shared" si="8"/>
        <v>1.9442044570027264</v>
      </c>
      <c r="N23" s="1">
        <f t="shared" si="8"/>
        <v>1.976545196653781</v>
      </c>
      <c r="O23" s="1">
        <f t="shared" si="8"/>
        <v>2.0094263199928761</v>
      </c>
      <c r="P23" s="1">
        <f t="shared" si="8"/>
        <v>2.0427155625210736</v>
      </c>
      <c r="Q23" s="1">
        <f t="shared" si="8"/>
        <v>2.0763201768926676</v>
      </c>
      <c r="R23" s="1">
        <f t="shared" si="8"/>
        <v>2.1101609884955721</v>
      </c>
      <c r="S23" s="1">
        <f t="shared" si="8"/>
        <v>2.1441565865507757</v>
      </c>
      <c r="T23" s="1">
        <f t="shared" si="8"/>
        <v>2.1782826885166164</v>
      </c>
      <c r="U23" s="1">
        <f t="shared" si="8"/>
        <v>2.21259290670123</v>
      </c>
      <c r="V23" s="1">
        <f t="shared" si="8"/>
        <v>2.247173201173454</v>
      </c>
      <c r="W23" s="1">
        <f t="shared" si="8"/>
        <v>2.2821136296280664</v>
      </c>
      <c r="X23" s="1">
        <f t="shared" si="8"/>
        <v>2.3175272387072829</v>
      </c>
      <c r="Y23" s="1">
        <f t="shared" si="8"/>
        <v>2.3535058372534792</v>
      </c>
      <c r="Z23" s="1">
        <f t="shared" si="8"/>
        <v>2.3900978898762384</v>
      </c>
      <c r="AA23" s="1">
        <f t="shared" si="8"/>
        <v>2.427359258427769</v>
      </c>
      <c r="AB23" s="1">
        <f t="shared" si="8"/>
        <v>2.4652940380313653</v>
      </c>
    </row>
    <row r="24" spans="2:28" x14ac:dyDescent="0.3">
      <c r="D24" s="1"/>
      <c r="E24" s="1"/>
      <c r="F24" s="1"/>
      <c r="G24" s="1"/>
      <c r="H24" s="1"/>
      <c r="I24" s="1"/>
      <c r="J24" s="1"/>
      <c r="K24" s="1"/>
      <c r="L24" s="1"/>
      <c r="M24" s="1"/>
      <c r="N24" s="1"/>
      <c r="O24" s="1"/>
      <c r="P24" s="1"/>
      <c r="Q24" s="1"/>
      <c r="R24" s="1"/>
      <c r="S24" s="1"/>
      <c r="T24" s="1"/>
      <c r="U24" s="1"/>
      <c r="V24" s="1"/>
      <c r="W24" s="1"/>
      <c r="X24" s="1"/>
      <c r="Y24" s="1"/>
      <c r="Z24" s="1"/>
      <c r="AA24" s="1"/>
      <c r="AB24" s="1"/>
    </row>
    <row r="25" spans="2:28" x14ac:dyDescent="0.3">
      <c r="B25" t="s">
        <v>4</v>
      </c>
      <c r="C25" s="1">
        <f>C23^(1/(1-C19))</f>
        <v>2.3262760060499099</v>
      </c>
      <c r="D25" s="1">
        <f>D23^(1/(1-D19))</f>
        <v>2.3730563851136997</v>
      </c>
      <c r="E25" s="1">
        <f t="shared" ref="E25:AB25" si="9">E23^(1/(1-E19))</f>
        <v>2.4379019608915038</v>
      </c>
      <c r="F25" s="1">
        <f t="shared" si="9"/>
        <v>2.5042141405046032</v>
      </c>
      <c r="G25" s="1">
        <f t="shared" si="9"/>
        <v>2.5706152905561113</v>
      </c>
      <c r="H25" s="1">
        <f t="shared" si="9"/>
        <v>2.6415163746056169</v>
      </c>
      <c r="I25" s="1">
        <f t="shared" si="9"/>
        <v>2.7146914825085813</v>
      </c>
      <c r="J25" s="1">
        <f t="shared" si="9"/>
        <v>2.7894125629576072</v>
      </c>
      <c r="K25" s="1">
        <f t="shared" si="9"/>
        <v>2.8667589958182838</v>
      </c>
      <c r="L25" s="1">
        <f t="shared" si="9"/>
        <v>2.946556188462107</v>
      </c>
      <c r="M25" s="1">
        <f t="shared" si="9"/>
        <v>3.0285626169033706</v>
      </c>
      <c r="N25" s="1">
        <f t="shared" si="9"/>
        <v>3.112991364714877</v>
      </c>
      <c r="O25" s="1">
        <f t="shared" si="9"/>
        <v>3.1997801809407251</v>
      </c>
      <c r="P25" s="1">
        <f t="shared" si="9"/>
        <v>3.2886159791841707</v>
      </c>
      <c r="Q25" s="1">
        <f t="shared" si="9"/>
        <v>3.3792776332144787</v>
      </c>
      <c r="R25" s="1">
        <f t="shared" si="9"/>
        <v>3.4715704496922322</v>
      </c>
      <c r="S25" s="1">
        <f t="shared" si="9"/>
        <v>3.5652842784547416</v>
      </c>
      <c r="T25" s="1">
        <f t="shared" si="9"/>
        <v>3.660359431769574</v>
      </c>
      <c r="U25" s="1">
        <f t="shared" si="9"/>
        <v>3.7569538442397876</v>
      </c>
      <c r="V25" s="1">
        <f t="shared" si="9"/>
        <v>3.8553242647385058</v>
      </c>
      <c r="W25" s="1">
        <f t="shared" si="9"/>
        <v>3.9557494337170644</v>
      </c>
      <c r="X25" s="1">
        <f t="shared" si="9"/>
        <v>4.0585859298042717</v>
      </c>
      <c r="Y25" s="1">
        <f t="shared" si="9"/>
        <v>4.1641413816374033</v>
      </c>
      <c r="Z25" s="1">
        <f t="shared" si="9"/>
        <v>4.2726056859191459</v>
      </c>
      <c r="AA25" s="1">
        <f t="shared" si="9"/>
        <v>4.3841973701097743</v>
      </c>
      <c r="AB25" s="1">
        <f t="shared" si="9"/>
        <v>4.4989849708962009</v>
      </c>
    </row>
    <row r="27" spans="2:28" x14ac:dyDescent="0.3">
      <c r="B27" t="s">
        <v>7</v>
      </c>
      <c r="C27" s="1">
        <f>C18*C25^C19</f>
        <v>2.7333743071086438</v>
      </c>
      <c r="D27" s="1">
        <f t="shared" ref="D27:AB27" si="10">D18*D25^D19</f>
        <v>2.7729198649366165</v>
      </c>
      <c r="E27" s="1">
        <f t="shared" si="10"/>
        <v>2.8209804434470329</v>
      </c>
      <c r="F27" s="1">
        <f t="shared" si="10"/>
        <v>2.8697340505277911</v>
      </c>
      <c r="G27" s="1">
        <f t="shared" si="10"/>
        <v>2.9185516581466144</v>
      </c>
      <c r="H27" s="1">
        <f t="shared" si="10"/>
        <v>2.9694318173065977</v>
      </c>
      <c r="I27" s="1">
        <f t="shared" si="10"/>
        <v>3.0213407734229882</v>
      </c>
      <c r="J27" s="1">
        <f t="shared" si="10"/>
        <v>3.0739450882773696</v>
      </c>
      <c r="K27" s="1">
        <f t="shared" si="10"/>
        <v>3.1277134841284924</v>
      </c>
      <c r="L27" s="1">
        <f t="shared" si="10"/>
        <v>3.1825546089743031</v>
      </c>
      <c r="M27" s="1">
        <f t="shared" si="10"/>
        <v>3.2383522052826725</v>
      </c>
      <c r="N27" s="1">
        <f t="shared" si="10"/>
        <v>3.2951873314332039</v>
      </c>
      <c r="O27" s="1">
        <f t="shared" si="10"/>
        <v>3.3530226351320125</v>
      </c>
      <c r="P27" s="1">
        <f t="shared" si="10"/>
        <v>3.4117183968981921</v>
      </c>
      <c r="Q27" s="1">
        <f t="shared" si="10"/>
        <v>3.471178494391745</v>
      </c>
      <c r="R27" s="1">
        <f t="shared" si="10"/>
        <v>3.5313216319849428</v>
      </c>
      <c r="S27" s="1">
        <f t="shared" si="10"/>
        <v>3.5920637190939089</v>
      </c>
      <c r="T27" s="1">
        <f t="shared" si="10"/>
        <v>3.6533841841455792</v>
      </c>
      <c r="U27" s="1">
        <f t="shared" si="10"/>
        <v>3.7153495492935686</v>
      </c>
      <c r="V27" s="1">
        <f t="shared" si="10"/>
        <v>3.7780629081306603</v>
      </c>
      <c r="W27" s="1">
        <f t="shared" si="10"/>
        <v>3.8416324826932819</v>
      </c>
      <c r="X27" s="1">
        <f t="shared" si="10"/>
        <v>3.9061929144429732</v>
      </c>
      <c r="Y27" s="1">
        <f t="shared" si="10"/>
        <v>3.9718556910933596</v>
      </c>
      <c r="Z27" s="1">
        <f t="shared" si="10"/>
        <v>4.038684101170678</v>
      </c>
      <c r="AA27" s="1">
        <f t="shared" si="10"/>
        <v>4.1067501593875182</v>
      </c>
      <c r="AB27" s="1">
        <f t="shared" si="10"/>
        <v>4.1760678426754012</v>
      </c>
    </row>
    <row r="29" spans="2:28" x14ac:dyDescent="0.3">
      <c r="B29" t="s">
        <v>26</v>
      </c>
      <c r="C29" s="1">
        <f>C27*LABOR!AI5*(1-TRANSITION!B17)/1000000</f>
        <v>33.133147879075253</v>
      </c>
      <c r="D29" s="1">
        <f>D27*LABOR!AJ5*(1-TRANSITION!C17)/1000000</f>
        <v>34.662359401667715</v>
      </c>
      <c r="E29" s="1">
        <f>E27*LABOR!AK5*(1-TRANSITION!D17)/1000000</f>
        <v>36.29810614161871</v>
      </c>
      <c r="F29" s="1">
        <f>F27*LABOR!AL5*(1-TRANSITION!E17)/1000000</f>
        <v>37.923494114343981</v>
      </c>
      <c r="G29" s="1">
        <f>G27*LABOR!AM5*(1-TRANSITION!F17)/1000000</f>
        <v>39.501629853849472</v>
      </c>
      <c r="H29" s="1">
        <f>H27*LABOR!AN5*(1-TRANSITION!G17)/1000000</f>
        <v>41.020469550996189</v>
      </c>
      <c r="I29" s="1">
        <f>I27*LABOR!AO5*(1-TRANSITION!H17)/1000000</f>
        <v>42.421985414835923</v>
      </c>
      <c r="J29" s="1">
        <f>J27*LABOR!AP5*(1-TRANSITION!I17)/1000000</f>
        <v>43.655467925689585</v>
      </c>
      <c r="K29" s="1">
        <f>K27*LABOR!AQ5*(1-TRANSITION!J17)/1000000</f>
        <v>44.684651389742719</v>
      </c>
      <c r="L29" s="1">
        <f>L27*LABOR!AR5*(1-TRANSITION!K17)/1000000</f>
        <v>45.470724178918367</v>
      </c>
      <c r="M29" s="1">
        <f>M27*LABOR!AS5*(1-TRANSITION!L17)/1000000</f>
        <v>45.991450203929219</v>
      </c>
      <c r="N29" s="1">
        <f>N27*LABOR!AT5*(1-TRANSITION!M17)/1000000</f>
        <v>46.262795846902399</v>
      </c>
      <c r="O29" s="1">
        <f>O27*LABOR!AU5*(1-TRANSITION!N17)/1000000</f>
        <v>46.333789591900114</v>
      </c>
      <c r="P29" s="1">
        <f>P27*LABOR!AV5*(1-TRANSITION!O17)/1000000</f>
        <v>46.279393325622003</v>
      </c>
      <c r="Q29" s="1">
        <f>Q27*LABOR!AW5*(1-TRANSITION!P17)/1000000</f>
        <v>46.194547429960977</v>
      </c>
      <c r="R29" s="1">
        <f>R27*LABOR!AX5*(1-TRANSITION!Q17)/1000000</f>
        <v>46.177523170665644</v>
      </c>
      <c r="S29" s="1">
        <f>S27*LABOR!AY5*(1-TRANSITION!R17)/1000000</f>
        <v>46.310663398684454</v>
      </c>
      <c r="T29" s="1">
        <f>T27*LABOR!AZ5*(1-TRANSITION!S17)/1000000</f>
        <v>46.653617171718366</v>
      </c>
      <c r="U29" s="1">
        <f>U27*LABOR!BA5*(1-TRANSITION!T17)/1000000</f>
        <v>47.244972256191645</v>
      </c>
      <c r="V29" s="1">
        <f>V27*LABOR!BB5*(1-TRANSITION!U17)/1000000</f>
        <v>48.099494370567093</v>
      </c>
      <c r="W29" s="1">
        <f>W27*LABOR!BC5*(1-TRANSITION!V17)/1000000</f>
        <v>49.214429532269953</v>
      </c>
      <c r="X29" s="1">
        <f>X27*LABOR!BD5*(1-TRANSITION!W17)/1000000</f>
        <v>50.579105850096717</v>
      </c>
      <c r="Y29" s="1">
        <f>Y27*LABOR!BE5*(1-TRANSITION!X17)/1000000</f>
        <v>52.172371170051086</v>
      </c>
      <c r="Z29" s="1">
        <f>Z27*LABOR!BF5*(1-TRANSITION!Y17)/1000000</f>
        <v>53.974809672792027</v>
      </c>
      <c r="AA29" s="1">
        <f>AA27*LABOR!BG5*(1-TRANSITION!Z17)/1000000</f>
        <v>55.971827278503824</v>
      </c>
      <c r="AB29" s="1">
        <f>AB27*LABOR!BH5*(1-TRANSITION!AA17)/1000000</f>
        <v>58.141401289554459</v>
      </c>
    </row>
    <row r="33" spans="2:28" x14ac:dyDescent="0.3">
      <c r="B33" t="s">
        <v>40</v>
      </c>
      <c r="C33">
        <f>C7</f>
        <v>0.1</v>
      </c>
    </row>
    <row r="34" spans="2:28" x14ac:dyDescent="0.3">
      <c r="B34" t="s">
        <v>39</v>
      </c>
      <c r="C34" s="1">
        <f>C25*LABOR!AI5*TRANSITION!B16/1000000</f>
        <v>28.198423726872559</v>
      </c>
      <c r="D34" s="1">
        <f>D25*LABOR!AJ5*TRANSITION!C16/1000000</f>
        <v>29.663941732089562</v>
      </c>
      <c r="E34" s="1">
        <f>E25*LABOR!AK5*TRANSITION!D16/1000000</f>
        <v>31.368960513306629</v>
      </c>
      <c r="F34" s="1">
        <f>F25*LABOR!AL5*TRANSITION!E16/1000000</f>
        <v>33.093153771868522</v>
      </c>
      <c r="G34" s="1">
        <f>G25*LABOR!AM5*TRANSITION!F16/1000000</f>
        <v>34.792426380651079</v>
      </c>
      <c r="H34" s="1">
        <f>H25*LABOR!AN5*TRANSITION!G16/1000000</f>
        <v>36.490564080791501</v>
      </c>
      <c r="I34" s="1">
        <f>I25*LABOR!AO5*TRANSITION!H16/1000000</f>
        <v>38.116389746492054</v>
      </c>
      <c r="J34" s="1">
        <f>J25*LABOR!AP5*TRANSITION!I16/1000000</f>
        <v>39.614601815139359</v>
      </c>
      <c r="K34" s="1">
        <f>K25*LABOR!AQ5*TRANSITION!J16/1000000</f>
        <v>40.956477310530509</v>
      </c>
      <c r="L34" s="1">
        <f>L25*LABOR!AR5*TRANSITION!K16/1000000</f>
        <v>42.098898584626696</v>
      </c>
      <c r="M34" s="1">
        <f>M25*LABOR!AS5*TRANSITION!L16/1000000</f>
        <v>43.011994358604554</v>
      </c>
      <c r="N34" s="1">
        <f>N25*LABOR!AT5*TRANSITION!M16/1000000</f>
        <v>43.704854836382388</v>
      </c>
      <c r="O34" s="1">
        <f>O25*LABOR!AU5*TRANSITION!N16/1000000</f>
        <v>44.216206622238488</v>
      </c>
      <c r="P34" s="1">
        <f>P25*LABOR!AV5*TRANSITION!O16/1000000</f>
        <v>44.609529478153867</v>
      </c>
      <c r="Q34" s="1">
        <f>Q25*LABOR!AW5*TRANSITION!P16/1000000</f>
        <v>44.971528015267523</v>
      </c>
      <c r="R34" s="1">
        <f>R25*LABOR!AX5*TRANSITION!Q16/1000000</f>
        <v>45.396183521565092</v>
      </c>
      <c r="S34" s="1">
        <f>S25*LABOR!AY5*TRANSITION!R16/1000000</f>
        <v>45.96540959518056</v>
      </c>
      <c r="T34" s="1">
        <f>T25*LABOR!AZ5*TRANSITION!S16/1000000</f>
        <v>46.742690895128028</v>
      </c>
      <c r="U34" s="1">
        <f>U25*LABOR!BA5*TRANSITION!T16/1000000</f>
        <v>47.77401904826165</v>
      </c>
      <c r="V34" s="1">
        <f>V25*LABOR!BB5*TRANSITION!U16/1000000</f>
        <v>49.083128650246188</v>
      </c>
      <c r="W34" s="1">
        <f>W25*LABOR!BC5*TRANSITION!V16/1000000</f>
        <v>50.676360279133078</v>
      </c>
      <c r="X34" s="1">
        <f>X25*LABOR!BD5*TRANSITION!W16/1000000</f>
        <v>52.552357715429558</v>
      </c>
      <c r="Y34" s="1">
        <f>Y25*LABOR!BE5*TRANSITION!X16/1000000</f>
        <v>54.698142798725698</v>
      </c>
      <c r="Z34" s="1">
        <f>Z25*LABOR!BF5*TRANSITION!Y16/1000000</f>
        <v>57.101044034993478</v>
      </c>
      <c r="AA34" s="1">
        <f>AA25*LABOR!BG5*TRANSITION!Z16/1000000</f>
        <v>59.753218099650049</v>
      </c>
      <c r="AB34" s="1">
        <f>AB25*LABOR!BH5*TRANSITION!AA16/1000000</f>
        <v>62.637222488457191</v>
      </c>
    </row>
    <row r="35" spans="2:28" x14ac:dyDescent="0.3">
      <c r="C35">
        <v>0.05</v>
      </c>
      <c r="D35" s="1">
        <f>LN(D34/C34)</f>
        <v>5.0666144946460205E-2</v>
      </c>
      <c r="E35" s="1">
        <f t="shared" ref="E35:AB35" si="11">LN(E34/D34)</f>
        <v>5.5886660204804532E-2</v>
      </c>
      <c r="F35" s="1">
        <f t="shared" si="11"/>
        <v>5.3507540980133474E-2</v>
      </c>
      <c r="G35" s="1">
        <f t="shared" si="11"/>
        <v>5.0073304052053916E-2</v>
      </c>
      <c r="H35" s="1">
        <f t="shared" si="11"/>
        <v>4.7653978477265657E-2</v>
      </c>
      <c r="I35" s="1">
        <f t="shared" si="11"/>
        <v>4.3590657873965308E-2</v>
      </c>
      <c r="J35" s="1">
        <f t="shared" si="11"/>
        <v>3.8553416294470073E-2</v>
      </c>
      <c r="K35" s="1">
        <f t="shared" si="11"/>
        <v>3.3312190871115206E-2</v>
      </c>
      <c r="L35" s="1">
        <f t="shared" si="11"/>
        <v>2.7511604588863679E-2</v>
      </c>
      <c r="M35" s="1">
        <f t="shared" si="11"/>
        <v>2.1457436908874805E-2</v>
      </c>
      <c r="N35" s="1">
        <f t="shared" si="11"/>
        <v>1.5980175215418887E-2</v>
      </c>
      <c r="O35" s="1">
        <f t="shared" si="11"/>
        <v>1.1632196954680771E-2</v>
      </c>
      <c r="P35" s="1">
        <f t="shared" si="11"/>
        <v>8.8561140925400052E-3</v>
      </c>
      <c r="Q35" s="1">
        <f t="shared" si="11"/>
        <v>8.0820771202866331E-3</v>
      </c>
      <c r="R35" s="1">
        <f t="shared" si="11"/>
        <v>9.3984593595695717E-3</v>
      </c>
      <c r="S35" s="1">
        <f t="shared" si="11"/>
        <v>1.2461110187070516E-2</v>
      </c>
      <c r="T35" s="1">
        <f t="shared" si="11"/>
        <v>1.676875072318533E-2</v>
      </c>
      <c r="U35" s="1">
        <f t="shared" si="11"/>
        <v>2.1824058151378865E-2</v>
      </c>
      <c r="V35" s="1">
        <f t="shared" si="11"/>
        <v>2.7033406567300671E-2</v>
      </c>
      <c r="W35" s="1">
        <f t="shared" si="11"/>
        <v>3.194417143619855E-2</v>
      </c>
      <c r="X35" s="1">
        <f t="shared" si="11"/>
        <v>3.6350427274916927E-2</v>
      </c>
      <c r="Y35" s="1">
        <f t="shared" si="11"/>
        <v>4.0019793908056128E-2</v>
      </c>
      <c r="Z35" s="1">
        <f t="shared" si="11"/>
        <v>4.299264446020519E-2</v>
      </c>
      <c r="AA35" s="1">
        <f t="shared" si="11"/>
        <v>4.5400647949184789E-2</v>
      </c>
      <c r="AB35" s="1">
        <f t="shared" si="11"/>
        <v>4.7136661068683403E-2</v>
      </c>
    </row>
    <row r="36" spans="2:28" x14ac:dyDescent="0.3">
      <c r="C36">
        <v>5.0000000000000001E-3</v>
      </c>
      <c r="D36" s="10">
        <f>C35*$C33</f>
        <v>5.000000000000001E-3</v>
      </c>
      <c r="E36" s="10">
        <f>D35*$C33</f>
        <v>5.0666144946460209E-3</v>
      </c>
      <c r="F36" s="10">
        <f t="shared" ref="F36:AB36" si="12">E35*$C33</f>
        <v>5.5886660204804532E-3</v>
      </c>
      <c r="G36" s="10">
        <f t="shared" si="12"/>
        <v>5.3507540980133475E-3</v>
      </c>
      <c r="H36" s="10">
        <f t="shared" si="12"/>
        <v>5.0073304052053918E-3</v>
      </c>
      <c r="I36" s="10">
        <f t="shared" si="12"/>
        <v>4.7653978477265662E-3</v>
      </c>
      <c r="J36" s="10">
        <f t="shared" si="12"/>
        <v>4.3590657873965313E-3</v>
      </c>
      <c r="K36" s="10">
        <f t="shared" si="12"/>
        <v>3.8553416294470075E-3</v>
      </c>
      <c r="L36" s="10">
        <f t="shared" si="12"/>
        <v>3.331219087111521E-3</v>
      </c>
      <c r="M36" s="10">
        <f t="shared" si="12"/>
        <v>2.751160458886368E-3</v>
      </c>
      <c r="N36" s="10">
        <f t="shared" si="12"/>
        <v>2.1457436908874808E-3</v>
      </c>
      <c r="O36" s="10">
        <f t="shared" si="12"/>
        <v>1.5980175215418889E-3</v>
      </c>
      <c r="P36" s="10">
        <f t="shared" si="12"/>
        <v>1.1632196954680771E-3</v>
      </c>
      <c r="Q36" s="10">
        <f t="shared" si="12"/>
        <v>8.856114092540006E-4</v>
      </c>
      <c r="R36" s="10">
        <f t="shared" si="12"/>
        <v>8.0820771202866337E-4</v>
      </c>
      <c r="S36" s="10">
        <f t="shared" si="12"/>
        <v>9.3984593595695725E-4</v>
      </c>
      <c r="T36" s="10">
        <f t="shared" si="12"/>
        <v>1.2461110187070518E-3</v>
      </c>
      <c r="U36" s="10">
        <f t="shared" si="12"/>
        <v>1.6768750723185331E-3</v>
      </c>
      <c r="V36" s="10">
        <f t="shared" si="12"/>
        <v>2.1824058151378866E-3</v>
      </c>
      <c r="W36" s="10">
        <f t="shared" si="12"/>
        <v>2.7033406567300673E-3</v>
      </c>
      <c r="X36" s="10">
        <f t="shared" si="12"/>
        <v>3.1944171436198553E-3</v>
      </c>
      <c r="Y36" s="10">
        <f t="shared" si="12"/>
        <v>3.635042727491693E-3</v>
      </c>
      <c r="Z36" s="10">
        <f t="shared" si="12"/>
        <v>4.0019793908056128E-3</v>
      </c>
      <c r="AA36" s="10">
        <f t="shared" si="12"/>
        <v>4.2992644460205188E-3</v>
      </c>
      <c r="AB36" s="10">
        <f t="shared" si="12"/>
        <v>4.540064794918479E-3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D3E7C-4323-1C48-9125-0F57A7D53129}">
  <dimension ref="B9:AD39"/>
  <sheetViews>
    <sheetView zoomScale="55" zoomScaleNormal="55" workbookViewId="0">
      <selection activeCell="AA48" sqref="AA48"/>
    </sheetView>
  </sheetViews>
  <sheetFormatPr baseColWidth="10" defaultColWidth="11" defaultRowHeight="15.6" x14ac:dyDescent="0.3"/>
  <cols>
    <col min="2" max="2" width="16.69921875" customWidth="1"/>
    <col min="3" max="3" width="11.19921875" bestFit="1" customWidth="1"/>
  </cols>
  <sheetData>
    <row r="9" spans="2:30" x14ac:dyDescent="0.3">
      <c r="C9">
        <v>2025</v>
      </c>
      <c r="D9">
        <f>C9+1</f>
        <v>2026</v>
      </c>
      <c r="E9">
        <f t="shared" ref="E9:AB9" si="0">D9+1</f>
        <v>2027</v>
      </c>
      <c r="F9">
        <f t="shared" si="0"/>
        <v>2028</v>
      </c>
      <c r="G9">
        <f t="shared" si="0"/>
        <v>2029</v>
      </c>
      <c r="H9">
        <f t="shared" si="0"/>
        <v>2030</v>
      </c>
      <c r="I9">
        <f t="shared" si="0"/>
        <v>2031</v>
      </c>
      <c r="J9">
        <f t="shared" si="0"/>
        <v>2032</v>
      </c>
      <c r="K9">
        <f t="shared" si="0"/>
        <v>2033</v>
      </c>
      <c r="L9">
        <f t="shared" si="0"/>
        <v>2034</v>
      </c>
      <c r="M9">
        <f t="shared" si="0"/>
        <v>2035</v>
      </c>
      <c r="N9">
        <f t="shared" si="0"/>
        <v>2036</v>
      </c>
      <c r="O9">
        <f t="shared" si="0"/>
        <v>2037</v>
      </c>
      <c r="P9">
        <f t="shared" si="0"/>
        <v>2038</v>
      </c>
      <c r="Q9">
        <f t="shared" si="0"/>
        <v>2039</v>
      </c>
      <c r="R9">
        <f t="shared" si="0"/>
        <v>2040</v>
      </c>
      <c r="S9">
        <f t="shared" si="0"/>
        <v>2041</v>
      </c>
      <c r="T9">
        <f t="shared" si="0"/>
        <v>2042</v>
      </c>
      <c r="U9">
        <f t="shared" si="0"/>
        <v>2043</v>
      </c>
      <c r="V9">
        <f t="shared" si="0"/>
        <v>2044</v>
      </c>
      <c r="W9">
        <f t="shared" si="0"/>
        <v>2045</v>
      </c>
      <c r="X9">
        <f t="shared" si="0"/>
        <v>2046</v>
      </c>
      <c r="Y9">
        <f t="shared" si="0"/>
        <v>2047</v>
      </c>
      <c r="Z9">
        <f t="shared" si="0"/>
        <v>2048</v>
      </c>
      <c r="AA9">
        <f t="shared" si="0"/>
        <v>2049</v>
      </c>
      <c r="AB9">
        <f t="shared" si="0"/>
        <v>2050</v>
      </c>
    </row>
    <row r="10" spans="2:30" x14ac:dyDescent="0.3">
      <c r="B10" t="s">
        <v>27</v>
      </c>
      <c r="C10" s="1">
        <f>OLD!C29</f>
        <v>33.133147879075253</v>
      </c>
      <c r="D10" s="1">
        <f>OLD!D29</f>
        <v>34.662359401667715</v>
      </c>
      <c r="E10" s="1">
        <f>OLD!E29</f>
        <v>36.29810614161871</v>
      </c>
      <c r="F10" s="1">
        <f>OLD!F29</f>
        <v>37.923494114343981</v>
      </c>
      <c r="G10" s="1">
        <f>OLD!G29</f>
        <v>39.501629853849472</v>
      </c>
      <c r="H10" s="1">
        <f>OLD!H29</f>
        <v>41.020469550996189</v>
      </c>
      <c r="I10" s="1">
        <f>OLD!I29</f>
        <v>42.421985414835923</v>
      </c>
      <c r="J10" s="1">
        <f>OLD!J29</f>
        <v>43.655467925689585</v>
      </c>
      <c r="K10" s="1">
        <f>OLD!K29</f>
        <v>44.684651389742719</v>
      </c>
      <c r="L10" s="1">
        <f>OLD!L29</f>
        <v>45.470724178918367</v>
      </c>
      <c r="M10" s="1">
        <f>OLD!M29</f>
        <v>45.991450203929219</v>
      </c>
      <c r="N10" s="1">
        <f>OLD!N29</f>
        <v>46.262795846902399</v>
      </c>
      <c r="O10" s="1">
        <f>OLD!O29</f>
        <v>46.333789591900114</v>
      </c>
      <c r="P10" s="1">
        <f>OLD!P29</f>
        <v>46.279393325622003</v>
      </c>
      <c r="Q10" s="1">
        <f>OLD!Q29</f>
        <v>46.194547429960977</v>
      </c>
      <c r="R10" s="1">
        <f>OLD!R29</f>
        <v>46.177523170665644</v>
      </c>
      <c r="S10" s="1">
        <f>OLD!S29</f>
        <v>46.310663398684454</v>
      </c>
      <c r="T10" s="1">
        <f>OLD!T29</f>
        <v>46.653617171718366</v>
      </c>
      <c r="U10" s="1">
        <f>OLD!U29</f>
        <v>47.244972256191645</v>
      </c>
      <c r="V10" s="1">
        <f>OLD!V29</f>
        <v>48.099494370567093</v>
      </c>
      <c r="W10" s="1">
        <f>OLD!W29</f>
        <v>49.214429532269953</v>
      </c>
      <c r="X10" s="1">
        <f>OLD!X29</f>
        <v>50.579105850096717</v>
      </c>
      <c r="Y10" s="1">
        <f>OLD!Y29</f>
        <v>52.172371170051086</v>
      </c>
      <c r="Z10" s="1">
        <f>OLD!Z29</f>
        <v>53.974809672792027</v>
      </c>
      <c r="AA10" s="1">
        <f>OLD!AA29</f>
        <v>55.971827278503824</v>
      </c>
      <c r="AB10" s="1">
        <f>OLD!AB29</f>
        <v>58.141401289554459</v>
      </c>
    </row>
    <row r="11" spans="2:30" x14ac:dyDescent="0.3">
      <c r="B11" t="s">
        <v>28</v>
      </c>
      <c r="C11" s="1">
        <f>NEW!C29</f>
        <v>6.3805220729257872E-2</v>
      </c>
      <c r="D11" s="1">
        <f>NEW!D29</f>
        <v>0.32351593883200824</v>
      </c>
      <c r="E11" s="1">
        <f>NEW!E29</f>
        <v>0.7013451329341911</v>
      </c>
      <c r="F11" s="1">
        <f>NEW!F29</f>
        <v>1.3618018650681603</v>
      </c>
      <c r="G11" s="1">
        <f>NEW!G29</f>
        <v>2.484987937365831</v>
      </c>
      <c r="H11" s="1">
        <f>NEW!H29</f>
        <v>3.951414188673195</v>
      </c>
      <c r="I11" s="1">
        <f>NEW!I29</f>
        <v>6.0386454837459826</v>
      </c>
      <c r="J11" s="1">
        <f>NEW!J29</f>
        <v>9.1032355703550465</v>
      </c>
      <c r="K11" s="1">
        <f>NEW!K29</f>
        <v>13.129210590230461</v>
      </c>
      <c r="L11" s="1">
        <f>NEW!L29</f>
        <v>18.378832891315913</v>
      </c>
      <c r="M11" s="1">
        <f>NEW!M29</f>
        <v>25.234065098744491</v>
      </c>
      <c r="N11" s="1">
        <f>NEW!N29</f>
        <v>33.680945676838078</v>
      </c>
      <c r="O11" s="1">
        <f>NEW!O29</f>
        <v>43.728388284022763</v>
      </c>
      <c r="P11" s="1">
        <f>NEW!P29</f>
        <v>55.444125403542444</v>
      </c>
      <c r="Q11" s="1">
        <f>NEW!Q29</f>
        <v>68.608954080429598</v>
      </c>
      <c r="R11" s="1">
        <f>NEW!R29</f>
        <v>82.964668733382737</v>
      </c>
      <c r="S11" s="1">
        <f>NEW!S29</f>
        <v>98.359922138870573</v>
      </c>
      <c r="T11" s="1">
        <f>NEW!T29</f>
        <v>114.59993498645508</v>
      </c>
      <c r="U11" s="1">
        <f>NEW!U29</f>
        <v>131.54159375191568</v>
      </c>
      <c r="V11" s="1">
        <f>NEW!V29</f>
        <v>149.16514570167115</v>
      </c>
      <c r="W11" s="1">
        <f>NEW!W29</f>
        <v>167.49082335279596</v>
      </c>
      <c r="X11" s="1">
        <f>NEW!X29</f>
        <v>186.58135492536803</v>
      </c>
      <c r="Y11" s="1">
        <f>NEW!Y29</f>
        <v>206.53655101525214</v>
      </c>
      <c r="Z11" s="1">
        <f>NEW!Z29</f>
        <v>227.48697555059985</v>
      </c>
      <c r="AA11" s="1">
        <f>NEW!AA29</f>
        <v>249.58879219169734</v>
      </c>
      <c r="AB11" s="1">
        <f>NEW!AB29</f>
        <v>272.96878317960392</v>
      </c>
      <c r="AD11">
        <f>AB11/AB12</f>
        <v>0.82440467247249505</v>
      </c>
    </row>
    <row r="12" spans="2:30" x14ac:dyDescent="0.3">
      <c r="B12" t="s">
        <v>29</v>
      </c>
      <c r="C12" s="1">
        <f>C10+C11</f>
        <v>33.19695309980451</v>
      </c>
      <c r="D12" s="1">
        <f t="shared" ref="D12:AB12" si="1">D10+D11</f>
        <v>34.985875340499724</v>
      </c>
      <c r="E12" s="1">
        <f t="shared" si="1"/>
        <v>36.999451274552904</v>
      </c>
      <c r="F12" s="1">
        <f t="shared" si="1"/>
        <v>39.28529597941214</v>
      </c>
      <c r="G12" s="1">
        <f t="shared" si="1"/>
        <v>41.986617791215302</v>
      </c>
      <c r="H12" s="1">
        <f t="shared" si="1"/>
        <v>44.971883739669387</v>
      </c>
      <c r="I12" s="1">
        <f t="shared" si="1"/>
        <v>48.460630898581904</v>
      </c>
      <c r="J12" s="1">
        <f t="shared" si="1"/>
        <v>52.758703496044632</v>
      </c>
      <c r="K12" s="1">
        <f t="shared" si="1"/>
        <v>57.813861979973183</v>
      </c>
      <c r="L12" s="1">
        <f t="shared" si="1"/>
        <v>63.849557070234283</v>
      </c>
      <c r="M12" s="1">
        <f t="shared" si="1"/>
        <v>71.225515302673713</v>
      </c>
      <c r="N12" s="1">
        <f t="shared" si="1"/>
        <v>79.943741523740471</v>
      </c>
      <c r="O12" s="1">
        <f t="shared" si="1"/>
        <v>90.062177875922885</v>
      </c>
      <c r="P12" s="1">
        <f t="shared" si="1"/>
        <v>101.72351872916445</v>
      </c>
      <c r="Q12" s="1">
        <f t="shared" si="1"/>
        <v>114.80350151039057</v>
      </c>
      <c r="R12" s="1">
        <f t="shared" si="1"/>
        <v>129.14219190404839</v>
      </c>
      <c r="S12" s="1">
        <f t="shared" si="1"/>
        <v>144.67058553755504</v>
      </c>
      <c r="T12" s="1">
        <f t="shared" si="1"/>
        <v>161.25355215817345</v>
      </c>
      <c r="U12" s="1">
        <f t="shared" si="1"/>
        <v>178.78656600810734</v>
      </c>
      <c r="V12" s="1">
        <f t="shared" si="1"/>
        <v>197.26464007223825</v>
      </c>
      <c r="W12" s="1">
        <f t="shared" si="1"/>
        <v>216.7052528850659</v>
      </c>
      <c r="X12" s="1">
        <f t="shared" si="1"/>
        <v>237.16046077546474</v>
      </c>
      <c r="Y12" s="1">
        <f t="shared" si="1"/>
        <v>258.70892218530321</v>
      </c>
      <c r="Z12" s="1">
        <f t="shared" si="1"/>
        <v>281.46178522339187</v>
      </c>
      <c r="AA12" s="1">
        <f t="shared" si="1"/>
        <v>305.56061947020117</v>
      </c>
      <c r="AB12" s="1">
        <f t="shared" si="1"/>
        <v>331.11018446915836</v>
      </c>
      <c r="AD12" t="s">
        <v>139</v>
      </c>
    </row>
    <row r="14" spans="2:30" x14ac:dyDescent="0.3">
      <c r="B14" t="s">
        <v>30</v>
      </c>
    </row>
    <row r="15" spans="2:30" x14ac:dyDescent="0.3">
      <c r="B15" t="s">
        <v>33</v>
      </c>
    </row>
    <row r="16" spans="2:30" x14ac:dyDescent="0.3">
      <c r="B16" t="s">
        <v>31</v>
      </c>
      <c r="C16">
        <v>3.1</v>
      </c>
      <c r="D16" s="1">
        <f>C16*EXP(-$C20/100)</f>
        <v>3.0569023872148717</v>
      </c>
      <c r="E16" s="1">
        <f t="shared" ref="E16:AB16" si="2">D16*EXP(-$C20/100)</f>
        <v>3.0144039370838653</v>
      </c>
      <c r="F16" s="1">
        <f t="shared" si="2"/>
        <v>2.9724963197747019</v>
      </c>
      <c r="G16" s="1">
        <f t="shared" si="2"/>
        <v>2.9311713212602282</v>
      </c>
      <c r="H16" s="1">
        <f t="shared" si="2"/>
        <v>2.8904208417084392</v>
      </c>
      <c r="I16" s="1">
        <f t="shared" si="2"/>
        <v>2.8502368938948863</v>
      </c>
      <c r="J16" s="1">
        <f t="shared" si="2"/>
        <v>2.8106116016371545</v>
      </c>
      <c r="K16" s="1">
        <f t="shared" si="2"/>
        <v>2.771537198251107</v>
      </c>
      <c r="L16" s="1">
        <f t="shared" si="2"/>
        <v>2.733006025028589</v>
      </c>
      <c r="M16" s="1">
        <f t="shared" si="2"/>
        <v>2.6950105297362974</v>
      </c>
      <c r="N16" s="1">
        <f t="shared" si="2"/>
        <v>2.6575432651355175</v>
      </c>
      <c r="O16" s="1">
        <f t="shared" si="2"/>
        <v>2.6205968875224417</v>
      </c>
      <c r="P16" s="1">
        <f t="shared" si="2"/>
        <v>2.5841641552887791</v>
      </c>
      <c r="Q16" s="1">
        <f t="shared" si="2"/>
        <v>2.5482379275023779</v>
      </c>
      <c r="R16" s="1">
        <f t="shared" si="2"/>
        <v>2.5128111625075795</v>
      </c>
      <c r="S16" s="1">
        <f t="shared" si="2"/>
        <v>2.4778769165450312</v>
      </c>
      <c r="T16" s="1">
        <f t="shared" si="2"/>
        <v>2.4434283423906877</v>
      </c>
      <c r="U16" s="1">
        <f t="shared" si="2"/>
        <v>2.4094586880137325</v>
      </c>
      <c r="V16" s="1">
        <f t="shared" si="2"/>
        <v>2.3759612952531586</v>
      </c>
      <c r="W16" s="1">
        <f t="shared" si="2"/>
        <v>2.3429295985127481</v>
      </c>
      <c r="X16" s="1">
        <f t="shared" si="2"/>
        <v>2.3103571234741938</v>
      </c>
      <c r="Y16" s="1">
        <f t="shared" si="2"/>
        <v>2.2782374858281123</v>
      </c>
      <c r="Z16" s="1">
        <f t="shared" si="2"/>
        <v>2.2465643900226979</v>
      </c>
      <c r="AA16" s="1">
        <f t="shared" si="2"/>
        <v>2.2153316280297766</v>
      </c>
      <c r="AB16" s="1">
        <f t="shared" si="2"/>
        <v>2.1845330781280103</v>
      </c>
    </row>
    <row r="17" spans="2:28" x14ac:dyDescent="0.3">
      <c r="B17" t="s">
        <v>32</v>
      </c>
      <c r="C17">
        <v>5.6</v>
      </c>
      <c r="D17" s="1">
        <f>C17*EXP(-$C21/100)</f>
        <v>5.4508229525362859</v>
      </c>
      <c r="E17" s="1">
        <f t="shared" ref="E17:AB17" si="3">D17*EXP(-$C21/100)</f>
        <v>5.3056197964100704</v>
      </c>
      <c r="F17" s="1">
        <f t="shared" si="3"/>
        <v>5.1642846720898055</v>
      </c>
      <c r="G17" s="1">
        <f t="shared" si="3"/>
        <v>5.0267145400104356</v>
      </c>
      <c r="H17" s="1">
        <f t="shared" si="3"/>
        <v>4.8928091054529927</v>
      </c>
      <c r="I17" s="1">
        <f t="shared" si="3"/>
        <v>4.762470745425305</v>
      </c>
      <c r="J17" s="1">
        <f t="shared" si="3"/>
        <v>4.6356044374905085</v>
      </c>
      <c r="K17" s="1">
        <f t="shared" si="3"/>
        <v>4.5121176904914861</v>
      </c>
      <c r="L17" s="1">
        <f t="shared" si="3"/>
        <v>4.3919204771207161</v>
      </c>
      <c r="M17" s="1">
        <f t="shared" si="3"/>
        <v>4.2749251682863774</v>
      </c>
      <c r="N17" s="1">
        <f t="shared" si="3"/>
        <v>4.1610464692268625</v>
      </c>
      <c r="O17" s="1">
        <f t="shared" si="3"/>
        <v>4.0502013573271167</v>
      </c>
      <c r="P17" s="1">
        <f t="shared" si="3"/>
        <v>3.9423090215914764</v>
      </c>
      <c r="Q17" s="1">
        <f t="shared" si="3"/>
        <v>3.8372908037288731</v>
      </c>
      <c r="R17" s="1">
        <f t="shared" si="3"/>
        <v>3.7350701408074563</v>
      </c>
      <c r="S17" s="1">
        <f t="shared" si="3"/>
        <v>3.635572509436825</v>
      </c>
      <c r="T17" s="1">
        <f t="shared" si="3"/>
        <v>3.5387253714371765</v>
      </c>
      <c r="U17" s="1">
        <f t="shared" si="3"/>
        <v>3.4444581209557601</v>
      </c>
      <c r="V17" s="1">
        <f t="shared" si="3"/>
        <v>3.3527020329920827</v>
      </c>
      <c r="W17" s="1">
        <f t="shared" si="3"/>
        <v>3.2633902132943415</v>
      </c>
      <c r="X17" s="1">
        <f t="shared" si="3"/>
        <v>3.1764575495905505</v>
      </c>
      <c r="Y17" s="1">
        <f t="shared" si="3"/>
        <v>3.091840664118811</v>
      </c>
      <c r="Z17" s="1">
        <f t="shared" si="3"/>
        <v>3.0094778674221159</v>
      </c>
      <c r="AA17" s="1">
        <f t="shared" si="3"/>
        <v>2.9293091133740039</v>
      </c>
      <c r="AB17" s="1">
        <f t="shared" si="3"/>
        <v>2.8512759554022749</v>
      </c>
    </row>
    <row r="19" spans="2:28" x14ac:dyDescent="0.3">
      <c r="B19" t="s">
        <v>93</v>
      </c>
    </row>
    <row r="20" spans="2:28" x14ac:dyDescent="0.3">
      <c r="B20" t="s">
        <v>31</v>
      </c>
      <c r="C20">
        <v>1.4</v>
      </c>
    </row>
    <row r="21" spans="2:28" x14ac:dyDescent="0.3">
      <c r="B21" t="s">
        <v>32</v>
      </c>
      <c r="C21">
        <v>2.7</v>
      </c>
    </row>
    <row r="24" spans="2:28" x14ac:dyDescent="0.3">
      <c r="B24" t="s">
        <v>70</v>
      </c>
      <c r="C24" s="1">
        <f>C10*C16</f>
        <v>102.71275842513329</v>
      </c>
      <c r="D24" s="1">
        <f t="shared" ref="D24:AB24" si="4">D10*D16</f>
        <v>105.95944920145789</v>
      </c>
      <c r="E24" s="1">
        <f t="shared" si="4"/>
        <v>109.41715406198347</v>
      </c>
      <c r="F24" s="1">
        <f t="shared" si="4"/>
        <v>112.72744668788505</v>
      </c>
      <c r="G24" s="1">
        <f t="shared" si="4"/>
        <v>115.78604457064043</v>
      </c>
      <c r="H24" s="1">
        <f t="shared" si="4"/>
        <v>118.56642012686581</v>
      </c>
      <c r="I24" s="1">
        <f t="shared" si="4"/>
        <v>120.91270794163611</v>
      </c>
      <c r="J24" s="1">
        <f t="shared" si="4"/>
        <v>122.69856462684183</v>
      </c>
      <c r="K24" s="1">
        <f t="shared" si="4"/>
        <v>123.84517351755497</v>
      </c>
      <c r="L24" s="1">
        <f t="shared" si="4"/>
        <v>124.27176314339704</v>
      </c>
      <c r="M24" s="1">
        <f t="shared" si="4"/>
        <v>123.94744257743183</v>
      </c>
      <c r="N24" s="1">
        <f t="shared" si="4"/>
        <v>122.94538152927487</v>
      </c>
      <c r="O24" s="1">
        <f t="shared" si="4"/>
        <v>121.42218479165314</v>
      </c>
      <c r="P24" s="1">
        <f t="shared" si="4"/>
        <v>119.59354936058314</v>
      </c>
      <c r="Q24" s="1">
        <f t="shared" si="4"/>
        <v>117.71469780483406</v>
      </c>
      <c r="R24" s="1">
        <f t="shared" si="4"/>
        <v>116.03539568020102</v>
      </c>
      <c r="S24" s="1">
        <f t="shared" si="4"/>
        <v>114.75212382548708</v>
      </c>
      <c r="T24" s="1">
        <f t="shared" si="4"/>
        <v>113.99477047242154</v>
      </c>
      <c r="U24" s="1">
        <f t="shared" si="4"/>
        <v>113.83480886764872</v>
      </c>
      <c r="V24" s="1">
        <f t="shared" si="4"/>
        <v>114.2825369457146</v>
      </c>
      <c r="W24" s="1">
        <f t="shared" si="4"/>
        <v>115.30594362507517</v>
      </c>
      <c r="X24" s="1">
        <f t="shared" si="4"/>
        <v>116.85579749972622</v>
      </c>
      <c r="Y24" s="1">
        <f t="shared" si="4"/>
        <v>118.86105172414827</v>
      </c>
      <c r="Z24" s="1">
        <f t="shared" si="4"/>
        <v>121.25788536914723</v>
      </c>
      <c r="AA24" s="1">
        <f t="shared" si="4"/>
        <v>123.99615924868934</v>
      </c>
      <c r="AB24" s="1">
        <f t="shared" si="4"/>
        <v>127.01181432574627</v>
      </c>
    </row>
    <row r="25" spans="2:28" x14ac:dyDescent="0.3">
      <c r="B25" t="s">
        <v>71</v>
      </c>
      <c r="C25" s="1">
        <f>C11*C17</f>
        <v>0.35730923608384407</v>
      </c>
      <c r="D25" s="1">
        <f t="shared" ref="D25:AB25" si="5">D11*D17</f>
        <v>1.7634281048968357</v>
      </c>
      <c r="E25" s="1">
        <f t="shared" si="5"/>
        <v>3.7210706214114966</v>
      </c>
      <c r="F25" s="1">
        <f t="shared" si="5"/>
        <v>7.0327324981948092</v>
      </c>
      <c r="G25" s="1">
        <f t="shared" si="5"/>
        <v>12.491324996507364</v>
      </c>
      <c r="H25" s="1">
        <f t="shared" si="5"/>
        <v>19.333515321756359</v>
      </c>
      <c r="I25" s="1">
        <f t="shared" si="5"/>
        <v>28.758872458334881</v>
      </c>
      <c r="J25" s="1">
        <f t="shared" si="5"/>
        <v>42.198999205459295</v>
      </c>
      <c r="K25" s="1">
        <f t="shared" si="5"/>
        <v>59.240543366367028</v>
      </c>
      <c r="L25" s="1">
        <f t="shared" si="5"/>
        <v>80.718372520950098</v>
      </c>
      <c r="M25" s="1">
        <f t="shared" si="5"/>
        <v>107.8737399887997</v>
      </c>
      <c r="N25" s="1">
        <f t="shared" si="5"/>
        <v>140.14798008882883</v>
      </c>
      <c r="O25" s="1">
        <f t="shared" si="5"/>
        <v>177.10877758167618</v>
      </c>
      <c r="P25" s="1">
        <f t="shared" si="5"/>
        <v>218.57787577263454</v>
      </c>
      <c r="Q25" s="1">
        <f t="shared" si="5"/>
        <v>263.27250854628903</v>
      </c>
      <c r="R25" s="1">
        <f t="shared" si="5"/>
        <v>309.87885692803985</v>
      </c>
      <c r="S25" s="1">
        <f t="shared" si="5"/>
        <v>357.59462895842438</v>
      </c>
      <c r="T25" s="1">
        <f t="shared" si="5"/>
        <v>405.53769750161956</v>
      </c>
      <c r="U25" s="1">
        <f t="shared" si="5"/>
        <v>453.08951084224947</v>
      </c>
      <c r="V25" s="1">
        <f t="shared" si="5"/>
        <v>500.10628724555312</v>
      </c>
      <c r="W25" s="1">
        <f t="shared" si="5"/>
        <v>546.58791374612565</v>
      </c>
      <c r="X25" s="1">
        <f t="shared" si="5"/>
        <v>592.66775346551935</v>
      </c>
      <c r="Y25" s="1">
        <f t="shared" si="5"/>
        <v>638.57810705580584</v>
      </c>
      <c r="Z25" s="1">
        <f t="shared" si="5"/>
        <v>684.61701804632628</v>
      </c>
      <c r="AA25" s="1">
        <f t="shared" si="5"/>
        <v>731.12272356314941</v>
      </c>
      <c r="AB25" s="1">
        <f t="shared" si="5"/>
        <v>778.30932805542159</v>
      </c>
    </row>
    <row r="26" spans="2:28" x14ac:dyDescent="0.3">
      <c r="B26" t="s">
        <v>72</v>
      </c>
      <c r="C26" s="1">
        <f>C24+C25</f>
        <v>103.07006766121714</v>
      </c>
      <c r="D26" s="1">
        <f t="shared" ref="D26:AB26" si="6">D24+D25</f>
        <v>107.72287730635472</v>
      </c>
      <c r="E26" s="1">
        <f t="shared" si="6"/>
        <v>113.13822468339497</v>
      </c>
      <c r="F26" s="1">
        <f t="shared" si="6"/>
        <v>119.76017918607985</v>
      </c>
      <c r="G26" s="1">
        <f t="shared" si="6"/>
        <v>128.27736956714779</v>
      </c>
      <c r="H26" s="1">
        <f t="shared" si="6"/>
        <v>137.89993544862216</v>
      </c>
      <c r="I26" s="1">
        <f t="shared" si="6"/>
        <v>149.67158039997099</v>
      </c>
      <c r="J26" s="1">
        <f t="shared" si="6"/>
        <v>164.89756383230113</v>
      </c>
      <c r="K26" s="1">
        <f t="shared" si="6"/>
        <v>183.085716883922</v>
      </c>
      <c r="L26" s="1">
        <f t="shared" si="6"/>
        <v>204.99013566434712</v>
      </c>
      <c r="M26" s="1">
        <f t="shared" si="6"/>
        <v>231.82118256623153</v>
      </c>
      <c r="N26" s="1">
        <f t="shared" si="6"/>
        <v>263.0933616181037</v>
      </c>
      <c r="O26" s="1">
        <f t="shared" si="6"/>
        <v>298.53096237332932</v>
      </c>
      <c r="P26" s="1">
        <f t="shared" si="6"/>
        <v>338.17142513321767</v>
      </c>
      <c r="Q26" s="1">
        <f t="shared" si="6"/>
        <v>380.98720635112306</v>
      </c>
      <c r="R26" s="1">
        <f t="shared" si="6"/>
        <v>425.91425260824087</v>
      </c>
      <c r="S26" s="1">
        <f t="shared" si="6"/>
        <v>472.34675278391148</v>
      </c>
      <c r="T26" s="1">
        <f t="shared" si="6"/>
        <v>519.53246797404108</v>
      </c>
      <c r="U26" s="1">
        <f t="shared" si="6"/>
        <v>566.92431970989821</v>
      </c>
      <c r="V26" s="1">
        <f t="shared" si="6"/>
        <v>614.38882419126776</v>
      </c>
      <c r="W26" s="1">
        <f t="shared" si="6"/>
        <v>661.89385737120085</v>
      </c>
      <c r="X26" s="1">
        <f t="shared" si="6"/>
        <v>709.52355096524559</v>
      </c>
      <c r="Y26" s="1">
        <f t="shared" si="6"/>
        <v>757.43915877995414</v>
      </c>
      <c r="Z26" s="1">
        <f t="shared" si="6"/>
        <v>805.87490341547345</v>
      </c>
      <c r="AA26" s="1">
        <f t="shared" si="6"/>
        <v>855.11888281183872</v>
      </c>
      <c r="AB26" s="1">
        <f t="shared" si="6"/>
        <v>905.32114238116787</v>
      </c>
    </row>
    <row r="29" spans="2:28" x14ac:dyDescent="0.3">
      <c r="B29" t="s">
        <v>43</v>
      </c>
      <c r="C29" s="1">
        <f>OLD!C34</f>
        <v>28.198423726872559</v>
      </c>
      <c r="D29" s="1">
        <f>OLD!D34</f>
        <v>29.663941732089562</v>
      </c>
      <c r="E29" s="1">
        <f>OLD!E34</f>
        <v>31.368960513306629</v>
      </c>
      <c r="F29" s="1">
        <f>OLD!F34</f>
        <v>33.093153771868522</v>
      </c>
      <c r="G29" s="1">
        <f>OLD!G34</f>
        <v>34.792426380651079</v>
      </c>
      <c r="H29" s="1">
        <f>OLD!H34</f>
        <v>36.490564080791501</v>
      </c>
      <c r="I29" s="1">
        <f>OLD!I34</f>
        <v>38.116389746492054</v>
      </c>
      <c r="J29" s="1">
        <f>OLD!J34</f>
        <v>39.614601815139359</v>
      </c>
      <c r="K29" s="1">
        <f>OLD!K34</f>
        <v>40.956477310530509</v>
      </c>
      <c r="L29" s="1">
        <f>OLD!L34</f>
        <v>42.098898584626696</v>
      </c>
      <c r="M29" s="1">
        <f>OLD!M34</f>
        <v>43.011994358604554</v>
      </c>
      <c r="N29" s="1">
        <f>OLD!N34</f>
        <v>43.704854836382388</v>
      </c>
      <c r="O29" s="1">
        <f>OLD!O34</f>
        <v>44.216206622238488</v>
      </c>
      <c r="P29" s="1">
        <f>OLD!P34</f>
        <v>44.609529478153867</v>
      </c>
      <c r="Q29" s="1">
        <f>OLD!Q34</f>
        <v>44.971528015267523</v>
      </c>
      <c r="R29" s="1">
        <f>OLD!R34</f>
        <v>45.396183521565092</v>
      </c>
      <c r="S29" s="1">
        <f>OLD!S34</f>
        <v>45.96540959518056</v>
      </c>
      <c r="T29" s="1">
        <f>OLD!T34</f>
        <v>46.742690895128028</v>
      </c>
      <c r="U29" s="1">
        <f>OLD!U34</f>
        <v>47.77401904826165</v>
      </c>
      <c r="V29" s="1">
        <f>OLD!V34</f>
        <v>49.083128650246188</v>
      </c>
      <c r="W29" s="1">
        <f>OLD!W34</f>
        <v>50.676360279133078</v>
      </c>
      <c r="X29" s="1">
        <f>OLD!X34</f>
        <v>52.552357715429558</v>
      </c>
      <c r="Y29" s="1">
        <f>OLD!Y34</f>
        <v>54.698142798725698</v>
      </c>
      <c r="Z29" s="1">
        <f>OLD!Z34</f>
        <v>57.101044034993478</v>
      </c>
      <c r="AA29" s="1">
        <f>OLD!AA34</f>
        <v>59.753218099650049</v>
      </c>
      <c r="AB29" s="1">
        <f>OLD!AB34</f>
        <v>62.637222488457191</v>
      </c>
    </row>
    <row r="30" spans="2:28" x14ac:dyDescent="0.3">
      <c r="B30" t="s">
        <v>42</v>
      </c>
      <c r="C30" s="1">
        <f>NEW!C34</f>
        <v>9.8161878045012113E-2</v>
      </c>
      <c r="D30" s="1">
        <f>NEW!D34</f>
        <v>0.45359376247795224</v>
      </c>
      <c r="E30" s="1">
        <f>NEW!E34</f>
        <v>0.97119904022905035</v>
      </c>
      <c r="F30" s="1">
        <f>NEW!F34</f>
        <v>1.9951697046828485</v>
      </c>
      <c r="G30" s="1">
        <f>NEW!G34</f>
        <v>3.9422027670274615</v>
      </c>
      <c r="H30" s="1">
        <f>NEW!H34</f>
        <v>6.4314715800386191</v>
      </c>
      <c r="I30" s="1">
        <f>NEW!I34</f>
        <v>10.080900955577247</v>
      </c>
      <c r="J30" s="1">
        <f>NEW!J34</f>
        <v>15.765503522679902</v>
      </c>
      <c r="K30" s="1">
        <f>NEW!K34</f>
        <v>23.315714326617453</v>
      </c>
      <c r="L30" s="1">
        <f>NEW!L34</f>
        <v>33.367286603412801</v>
      </c>
      <c r="M30" s="1">
        <f>NEW!M34</f>
        <v>47.019364824695607</v>
      </c>
      <c r="N30" s="1">
        <f>NEW!N34</f>
        <v>64.289237386412125</v>
      </c>
      <c r="O30" s="1">
        <f>NEW!O34</f>
        <v>85.378657529005181</v>
      </c>
      <c r="P30" s="1">
        <f>NEW!P34</f>
        <v>110.83647927865933</v>
      </c>
      <c r="Q30" s="1">
        <f>NEW!Q34</f>
        <v>140.39328804032087</v>
      </c>
      <c r="R30" s="1">
        <f>NEW!R34</f>
        <v>173.66878134577112</v>
      </c>
      <c r="S30" s="1">
        <f>NEW!S34</f>
        <v>210.61901135002378</v>
      </c>
      <c r="T30" s="1">
        <f>NEW!T34</f>
        <v>250.96593541585409</v>
      </c>
      <c r="U30" s="1">
        <f>NEW!U34</f>
        <v>294.47556813656587</v>
      </c>
      <c r="V30" s="1">
        <f>NEW!V34</f>
        <v>341.2470723299906</v>
      </c>
      <c r="W30" s="1">
        <f>NEW!W34</f>
        <v>391.44012984944482</v>
      </c>
      <c r="X30" s="1">
        <f>NEW!X34</f>
        <v>445.29953697444211</v>
      </c>
      <c r="Y30" s="1">
        <f>NEW!Y34</f>
        <v>503.2084194852913</v>
      </c>
      <c r="Z30" s="1">
        <f>NEW!Z34</f>
        <v>565.64615158982406</v>
      </c>
      <c r="AA30" s="1">
        <f>NEW!AA34</f>
        <v>633.18127923297175</v>
      </c>
      <c r="AB30" s="1">
        <f>NEW!AB34</f>
        <v>706.34519774700277</v>
      </c>
    </row>
    <row r="32" spans="2:28" x14ac:dyDescent="0.3">
      <c r="B32" t="s">
        <v>75</v>
      </c>
      <c r="C32" s="1">
        <f>C24*TRANSITION!B24</f>
        <v>102.71275842513329</v>
      </c>
      <c r="D32" s="1">
        <f>D24*TRANSITION!C24</f>
        <v>98.795935596077598</v>
      </c>
      <c r="E32" s="1">
        <f>E24*TRANSITION!D24</f>
        <v>95.122703977685234</v>
      </c>
      <c r="F32" s="1">
        <f>F24*TRANSITION!E24</f>
        <v>91.375092373643767</v>
      </c>
      <c r="G32" s="1">
        <f>G24*TRANSITION!F24</f>
        <v>87.509209973958008</v>
      </c>
      <c r="H32" s="1">
        <f>H24*TRANSITION!G24</f>
        <v>83.55234410398748</v>
      </c>
      <c r="I32" s="1">
        <f>I24*TRANSITION!H24</f>
        <v>79.445310228278771</v>
      </c>
      <c r="J32" s="1">
        <f>J24*TRANSITION!I24</f>
        <v>75.168379218945645</v>
      </c>
      <c r="K32" s="1">
        <f>K24*TRANSITION!J24</f>
        <v>70.741485627156607</v>
      </c>
      <c r="L32" s="1">
        <f>L24*TRANSITION!K24</f>
        <v>66.186122146844369</v>
      </c>
      <c r="M32" s="1">
        <f>M24*TRANSITION!L24</f>
        <v>61.550478426482265</v>
      </c>
      <c r="N32" s="1">
        <f>N24*TRANSITION!M24</f>
        <v>56.925318336564146</v>
      </c>
      <c r="O32" s="1">
        <f>O24*TRANSITION!N24</f>
        <v>52.419234952307015</v>
      </c>
      <c r="P32" s="1">
        <f>P24*TRANSITION!O24</f>
        <v>48.139300655797065</v>
      </c>
      <c r="Q32" s="1">
        <f>Q24*TRANSITION!P24</f>
        <v>44.179632584092694</v>
      </c>
      <c r="R32" s="1">
        <f>R24*TRANSITION!Q24</f>
        <v>40.605165181551818</v>
      </c>
      <c r="S32" s="1">
        <f>S24*TRANSITION!R24</f>
        <v>37.44129939433752</v>
      </c>
      <c r="T32" s="1">
        <f>T24*TRANSITION!S24</f>
        <v>34.679633170113867</v>
      </c>
      <c r="U32" s="1">
        <f>U24*TRANSITION!T24</f>
        <v>32.289701891140318</v>
      </c>
      <c r="V32" s="1">
        <f>V24*TRANSITION!U24</f>
        <v>30.225132385798545</v>
      </c>
      <c r="W32" s="1">
        <f>W24*TRANSITION!V24</f>
        <v>28.434095622365568</v>
      </c>
      <c r="X32" s="1">
        <f>X24*TRANSITION!W24</f>
        <v>26.868125937006095</v>
      </c>
      <c r="Y32" s="1">
        <f>Y24*TRANSITION!X24</f>
        <v>25.481563185391902</v>
      </c>
      <c r="Z32" s="1">
        <f>Z24*TRANSITION!Y24</f>
        <v>24.23794939423621</v>
      </c>
      <c r="AA32" s="1">
        <f>AA24*TRANSITION!Z24</f>
        <v>23.109657212794087</v>
      </c>
      <c r="AB32" s="1">
        <f>AB24*TRANSITION!AA24</f>
        <v>22.071343840180663</v>
      </c>
    </row>
    <row r="33" spans="2:28" x14ac:dyDescent="0.3">
      <c r="B33" t="s">
        <v>69</v>
      </c>
      <c r="C33" s="1">
        <f>C26-C32</f>
        <v>0.35730923608385012</v>
      </c>
      <c r="D33" s="1">
        <f t="shared" ref="D33:AB33" si="7">D26-D32</f>
        <v>8.92694171027712</v>
      </c>
      <c r="E33" s="1">
        <f t="shared" si="7"/>
        <v>18.015520705709733</v>
      </c>
      <c r="F33" s="1">
        <f t="shared" si="7"/>
        <v>28.385086812436086</v>
      </c>
      <c r="G33" s="1">
        <f t="shared" si="7"/>
        <v>40.768159593189779</v>
      </c>
      <c r="H33" s="1">
        <f t="shared" si="7"/>
        <v>54.347591344634679</v>
      </c>
      <c r="I33" s="1">
        <f t="shared" si="7"/>
        <v>70.226270171692221</v>
      </c>
      <c r="J33" s="1">
        <f t="shared" si="7"/>
        <v>89.729184613355486</v>
      </c>
      <c r="K33" s="1">
        <f t="shared" si="7"/>
        <v>112.3442312567654</v>
      </c>
      <c r="L33" s="1">
        <f t="shared" si="7"/>
        <v>138.80401351750277</v>
      </c>
      <c r="M33" s="1">
        <f t="shared" si="7"/>
        <v>170.27070413974926</v>
      </c>
      <c r="N33" s="1">
        <f t="shared" si="7"/>
        <v>206.16804328153955</v>
      </c>
      <c r="O33" s="1">
        <f t="shared" si="7"/>
        <v>246.11172742102229</v>
      </c>
      <c r="P33" s="1">
        <f t="shared" si="7"/>
        <v>290.03212447742061</v>
      </c>
      <c r="Q33" s="1">
        <f t="shared" si="7"/>
        <v>336.80757376703036</v>
      </c>
      <c r="R33" s="1">
        <f t="shared" si="7"/>
        <v>385.30908742668908</v>
      </c>
      <c r="S33" s="1">
        <f t="shared" si="7"/>
        <v>434.90545338957395</v>
      </c>
      <c r="T33" s="1">
        <f t="shared" si="7"/>
        <v>484.85283480392724</v>
      </c>
      <c r="U33" s="1">
        <f t="shared" si="7"/>
        <v>534.63461781875787</v>
      </c>
      <c r="V33" s="1">
        <f t="shared" si="7"/>
        <v>584.16369180546917</v>
      </c>
      <c r="W33" s="1">
        <f t="shared" si="7"/>
        <v>633.45976174883526</v>
      </c>
      <c r="X33" s="1">
        <f t="shared" si="7"/>
        <v>682.65542502823951</v>
      </c>
      <c r="Y33" s="1">
        <f t="shared" si="7"/>
        <v>731.95759559456224</v>
      </c>
      <c r="Z33" s="1">
        <f t="shared" si="7"/>
        <v>781.63695402123722</v>
      </c>
      <c r="AA33" s="1">
        <f t="shared" si="7"/>
        <v>832.00922559904461</v>
      </c>
      <c r="AB33" s="1">
        <f t="shared" si="7"/>
        <v>883.24979854098717</v>
      </c>
    </row>
    <row r="36" spans="2:28" x14ac:dyDescent="0.3">
      <c r="B36" t="s">
        <v>92</v>
      </c>
      <c r="C36" s="1">
        <f>7*C32/$C32</f>
        <v>7</v>
      </c>
      <c r="D36" s="1">
        <f t="shared" ref="D36:AB36" si="8">7*D32/$C32</f>
        <v>6.7330637379057983</v>
      </c>
      <c r="E36" s="1">
        <f t="shared" si="8"/>
        <v>6.4827285144828162</v>
      </c>
      <c r="F36" s="1">
        <f t="shared" si="8"/>
        <v>6.2273242041467096</v>
      </c>
      <c r="G36" s="1">
        <f t="shared" si="8"/>
        <v>5.9638595945624475</v>
      </c>
      <c r="H36" s="1">
        <f t="shared" si="8"/>
        <v>5.694194350297952</v>
      </c>
      <c r="I36" s="1">
        <f t="shared" si="8"/>
        <v>5.4142949729395289</v>
      </c>
      <c r="J36" s="1">
        <f t="shared" si="8"/>
        <v>5.1228168983130553</v>
      </c>
      <c r="K36" s="1">
        <f t="shared" si="8"/>
        <v>4.8211186904403656</v>
      </c>
      <c r="L36" s="1">
        <f t="shared" si="8"/>
        <v>4.5106651026766968</v>
      </c>
      <c r="M36" s="1">
        <f t="shared" si="8"/>
        <v>4.1947403184524763</v>
      </c>
      <c r="N36" s="1">
        <f t="shared" si="8"/>
        <v>3.8795300064538396</v>
      </c>
      <c r="O36" s="1">
        <f t="shared" si="8"/>
        <v>3.572434917455805</v>
      </c>
      <c r="P36" s="1">
        <f t="shared" si="8"/>
        <v>3.2807521651382636</v>
      </c>
      <c r="Q36" s="1">
        <f t="shared" si="8"/>
        <v>3.0108959474013615</v>
      </c>
      <c r="R36" s="1">
        <f t="shared" si="8"/>
        <v>2.7672916259769305</v>
      </c>
      <c r="S36" s="1">
        <f t="shared" si="8"/>
        <v>2.5516703063855286</v>
      </c>
      <c r="T36" s="1">
        <f t="shared" si="8"/>
        <v>2.3634593784932911</v>
      </c>
      <c r="U36" s="1">
        <f t="shared" si="8"/>
        <v>2.2005826413739302</v>
      </c>
      <c r="V36" s="1">
        <f t="shared" si="8"/>
        <v>2.0598797067143928</v>
      </c>
      <c r="W36" s="1">
        <f t="shared" si="8"/>
        <v>1.9378183626685197</v>
      </c>
      <c r="X36" s="1">
        <f t="shared" si="8"/>
        <v>1.8310956150216799</v>
      </c>
      <c r="Y36" s="1">
        <f t="shared" si="8"/>
        <v>1.7365996691419481</v>
      </c>
      <c r="Z36" s="1">
        <f t="shared" si="8"/>
        <v>1.6518458695987777</v>
      </c>
      <c r="AA36" s="1">
        <f t="shared" si="8"/>
        <v>1.5749513786787261</v>
      </c>
      <c r="AB36" s="1">
        <f t="shared" si="8"/>
        <v>1.5041890535329974</v>
      </c>
    </row>
    <row r="39" spans="2:28" x14ac:dyDescent="0.3">
      <c r="B39" t="s">
        <v>94</v>
      </c>
      <c r="C39" s="7">
        <f>C12/LABOR!AI4*1000000000</f>
        <v>1101.0312833954288</v>
      </c>
      <c r="D39" s="7">
        <f>D12/LABOR!AJ4*1000000000</f>
        <v>1131.6985786952446</v>
      </c>
      <c r="E39" s="7">
        <f>E12/LABOR!AK4*1000000000</f>
        <v>1167.6775519356879</v>
      </c>
      <c r="F39" s="7">
        <f>F12/LABOR!AL4*1000000000</f>
        <v>1210.0273094010249</v>
      </c>
      <c r="G39" s="7">
        <f>G12/LABOR!AM4*1000000000</f>
        <v>1262.5504524473079</v>
      </c>
      <c r="H39" s="7">
        <f>H12/LABOR!AN4*1000000000</f>
        <v>1320.7173858558822</v>
      </c>
      <c r="I39" s="7">
        <f>I12/LABOR!AO4*1000000000</f>
        <v>1390.440028617038</v>
      </c>
      <c r="J39" s="7">
        <f>J12/LABOR!AP4*1000000000</f>
        <v>1479.4260228864259</v>
      </c>
      <c r="K39" s="7">
        <f>K12/LABOR!AQ4*1000000000</f>
        <v>1584.7868319007432</v>
      </c>
      <c r="L39" s="7">
        <f>L12/LABOR!AR4*1000000000</f>
        <v>1711.3841465502394</v>
      </c>
      <c r="M39" s="7">
        <f>M12/LABOR!AS4*1000000000</f>
        <v>1867.3389432186964</v>
      </c>
      <c r="N39" s="7">
        <f>N12/LABOR!AT4*1000000000</f>
        <v>2050.6852498794751</v>
      </c>
      <c r="O39" s="7">
        <f>O12/LABOR!AU4*1000000000</f>
        <v>2260.956180985464</v>
      </c>
      <c r="P39" s="7">
        <f>P12/LABOR!AV4*1000000000</f>
        <v>2499.9194221454886</v>
      </c>
      <c r="Q39" s="7">
        <f>Q12/LABOR!AW4*1000000000</f>
        <v>2762.7441527242322</v>
      </c>
      <c r="R39" s="7">
        <f>R12/LABOR!AX4*1000000000</f>
        <v>3044.0811224197059</v>
      </c>
      <c r="S39" s="7">
        <f>S12/LABOR!AY4*1000000000</f>
        <v>3341.2527856760735</v>
      </c>
      <c r="T39" s="7">
        <f>T12/LABOR!AZ4*1000000000</f>
        <v>3650.3542510551147</v>
      </c>
      <c r="U39" s="7">
        <f>U12/LABOR!BA4*1000000000</f>
        <v>3968.2001215165574</v>
      </c>
      <c r="V39" s="7">
        <f>V12/LABOR!BB4*1000000000</f>
        <v>4294.0961326863708</v>
      </c>
      <c r="W39" s="7">
        <f>W12/LABOR!BC4*1000000000</f>
        <v>4627.9559152730417</v>
      </c>
      <c r="X39" s="7">
        <f>X12/LABOR!BD4*1000000000</f>
        <v>4970.2472260519571</v>
      </c>
      <c r="Y39" s="7">
        <f>Y12/LABOR!BE4*1000000000</f>
        <v>5322.4674977625255</v>
      </c>
      <c r="Z39" s="7">
        <f>Z12/LABOR!BF4*1000000000</f>
        <v>5686.3883426948278</v>
      </c>
      <c r="AA39" s="7">
        <f>AA12/LABOR!BG4*1000000000</f>
        <v>6063.8920798915406</v>
      </c>
      <c r="AB39" s="7">
        <f>AB12/LABOR!BH4*1000000000</f>
        <v>6456.9622763759744</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E8876-402F-1E47-81C1-6A9780B5A80C}">
  <dimension ref="C3:H8"/>
  <sheetViews>
    <sheetView zoomScale="40" zoomScaleNormal="40" workbookViewId="0">
      <selection activeCell="V43" sqref="V43"/>
    </sheetView>
  </sheetViews>
  <sheetFormatPr baseColWidth="10" defaultColWidth="11" defaultRowHeight="15.6" x14ac:dyDescent="0.3"/>
  <sheetData>
    <row r="3" spans="3:8" x14ac:dyDescent="0.3">
      <c r="C3" t="s">
        <v>137</v>
      </c>
      <c r="E3" t="s">
        <v>145</v>
      </c>
    </row>
    <row r="4" spans="3:8" x14ac:dyDescent="0.3">
      <c r="C4" s="22">
        <f>'MAIN MODEL'!AB36</f>
        <v>1.5041890535329974</v>
      </c>
      <c r="E4" s="22">
        <f>(1-C4/'MAIN MODEL'!C36)*100</f>
        <v>78.511584949528611</v>
      </c>
    </row>
    <row r="7" spans="3:8" x14ac:dyDescent="0.3">
      <c r="C7" t="s">
        <v>140</v>
      </c>
      <c r="H7" t="s">
        <v>138</v>
      </c>
    </row>
    <row r="8" spans="3:8" x14ac:dyDescent="0.3">
      <c r="C8" s="22">
        <f>ENERGY!AB65</f>
        <v>10.147032635937229</v>
      </c>
      <c r="H8" s="22">
        <f>'MAIN MODEL'!AD11*100</f>
        <v>82.440467247249501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CC279-CCB1-E044-B71A-FF2A4F63E0F5}">
  <dimension ref="B1:AB80"/>
  <sheetViews>
    <sheetView zoomScale="55" zoomScaleNormal="55" workbookViewId="0">
      <selection activeCell="R99" sqref="R99"/>
    </sheetView>
  </sheetViews>
  <sheetFormatPr baseColWidth="10" defaultColWidth="11" defaultRowHeight="15.6" x14ac:dyDescent="0.3"/>
  <cols>
    <col min="2" max="2" width="28.5" customWidth="1"/>
  </cols>
  <sheetData>
    <row r="1" spans="2:15" x14ac:dyDescent="0.3">
      <c r="B1" t="s">
        <v>76</v>
      </c>
      <c r="J1">
        <v>1</v>
      </c>
    </row>
    <row r="2" spans="2:15" x14ac:dyDescent="0.3">
      <c r="J2">
        <v>2.5000000000000001E-2</v>
      </c>
    </row>
    <row r="3" spans="2:15" x14ac:dyDescent="0.3">
      <c r="B3" t="s">
        <v>50</v>
      </c>
      <c r="C3" s="14">
        <v>0.16</v>
      </c>
      <c r="D3" t="s">
        <v>155</v>
      </c>
      <c r="F3">
        <f>365*24*C7</f>
        <v>1752</v>
      </c>
      <c r="H3">
        <v>4000</v>
      </c>
      <c r="J3">
        <f>EXP(J2*25)</f>
        <v>1.8682459574322223</v>
      </c>
      <c r="L3">
        <f>25^0.5</f>
        <v>5</v>
      </c>
      <c r="O3">
        <f>0.16*1000000</f>
        <v>160000</v>
      </c>
    </row>
    <row r="4" spans="2:15" x14ac:dyDescent="0.3">
      <c r="C4" s="14">
        <f>C3*1000</f>
        <v>160</v>
      </c>
      <c r="D4" t="s">
        <v>156</v>
      </c>
      <c r="F4">
        <f>C33/F3*1000</f>
        <v>0.20394362790174092</v>
      </c>
      <c r="H4">
        <f>H3/F3</f>
        <v>2.2831050228310503</v>
      </c>
      <c r="J4">
        <f>J1/J3</f>
        <v>0.53526142851899028</v>
      </c>
      <c r="L4">
        <f>C15/L3</f>
        <v>2</v>
      </c>
      <c r="O4">
        <f>O3*C33</f>
        <v>57169.477773416016</v>
      </c>
    </row>
    <row r="5" spans="2:15" x14ac:dyDescent="0.3">
      <c r="B5" t="s">
        <v>51</v>
      </c>
      <c r="C5" s="14">
        <v>1</v>
      </c>
      <c r="D5" t="s">
        <v>52</v>
      </c>
      <c r="O5">
        <f>O4/1000000</f>
        <v>5.7169477773416015E-2</v>
      </c>
    </row>
    <row r="6" spans="2:15" x14ac:dyDescent="0.3">
      <c r="B6" t="s">
        <v>54</v>
      </c>
      <c r="C6" s="14">
        <v>7.0000000000000007E-2</v>
      </c>
      <c r="O6">
        <f>O5*0.07</f>
        <v>4.0018634441391218E-3</v>
      </c>
    </row>
    <row r="7" spans="2:15" x14ac:dyDescent="0.3">
      <c r="B7" t="s">
        <v>56</v>
      </c>
      <c r="C7" s="14">
        <v>0.2</v>
      </c>
    </row>
    <row r="8" spans="2:15" x14ac:dyDescent="0.3">
      <c r="B8" t="s">
        <v>78</v>
      </c>
      <c r="C8" s="14">
        <v>7.3</v>
      </c>
      <c r="D8" t="s">
        <v>79</v>
      </c>
      <c r="E8" t="s">
        <v>166</v>
      </c>
    </row>
    <row r="12" spans="2:15" x14ac:dyDescent="0.3">
      <c r="B12" t="s">
        <v>77</v>
      </c>
      <c r="C12" s="14">
        <v>60</v>
      </c>
      <c r="D12" t="s">
        <v>103</v>
      </c>
    </row>
    <row r="13" spans="2:15" x14ac:dyDescent="0.3">
      <c r="B13" t="s">
        <v>57</v>
      </c>
      <c r="C13" s="15">
        <f>C12/$F3</f>
        <v>3.4246575342465752E-2</v>
      </c>
      <c r="D13" t="s">
        <v>38</v>
      </c>
    </row>
    <row r="14" spans="2:15" x14ac:dyDescent="0.3">
      <c r="B14" t="s">
        <v>58</v>
      </c>
      <c r="C14" s="15">
        <v>0</v>
      </c>
    </row>
    <row r="15" spans="2:15" x14ac:dyDescent="0.3">
      <c r="B15" t="s">
        <v>59</v>
      </c>
      <c r="C15" s="15">
        <v>10</v>
      </c>
    </row>
    <row r="16" spans="2:15" x14ac:dyDescent="0.3">
      <c r="B16" t="s">
        <v>60</v>
      </c>
      <c r="C16" s="1">
        <f>(C15-C14)/(AB32-C32)</f>
        <v>0.4</v>
      </c>
      <c r="D16" t="s">
        <v>61</v>
      </c>
    </row>
    <row r="17" spans="2:28" x14ac:dyDescent="0.3">
      <c r="B17" t="s">
        <v>63</v>
      </c>
      <c r="C17" s="1">
        <v>2.5</v>
      </c>
    </row>
    <row r="18" spans="2:28" x14ac:dyDescent="0.3">
      <c r="B18" t="s">
        <v>65</v>
      </c>
      <c r="C18" s="1"/>
    </row>
    <row r="19" spans="2:28" x14ac:dyDescent="0.3">
      <c r="B19" t="s">
        <v>67</v>
      </c>
      <c r="C19" s="1">
        <f>D19</f>
        <v>7000</v>
      </c>
      <c r="D19" s="19">
        <v>7000</v>
      </c>
    </row>
    <row r="20" spans="2:28" x14ac:dyDescent="0.3">
      <c r="B20" t="s">
        <v>66</v>
      </c>
      <c r="C20" s="1">
        <f>D19</f>
        <v>7000</v>
      </c>
    </row>
    <row r="21" spans="2:28" x14ac:dyDescent="0.3">
      <c r="C21" s="1" t="s">
        <v>87</v>
      </c>
    </row>
    <row r="22" spans="2:28" x14ac:dyDescent="0.3">
      <c r="B22" t="s">
        <v>157</v>
      </c>
      <c r="C22" s="1">
        <v>12</v>
      </c>
    </row>
    <row r="23" spans="2:28" x14ac:dyDescent="0.3">
      <c r="B23" t="s">
        <v>86</v>
      </c>
      <c r="C23" s="20">
        <v>150</v>
      </c>
    </row>
    <row r="24" spans="2:28" x14ac:dyDescent="0.3">
      <c r="C24" s="1"/>
    </row>
    <row r="25" spans="2:28" x14ac:dyDescent="0.3">
      <c r="B25" t="s">
        <v>88</v>
      </c>
      <c r="C25" s="1">
        <f>C22</f>
        <v>12</v>
      </c>
      <c r="D25" s="1">
        <f>C25*EXP(LN($C23/$C22)/($AB32-$C32))</f>
        <v>13.27570662624529</v>
      </c>
      <c r="E25" s="1">
        <f t="shared" ref="E25:AB25" si="0">D25*EXP(LN($C23/$C22)/($AB32-$C32))</f>
        <v>14.687032202177758</v>
      </c>
      <c r="F25" s="1">
        <f t="shared" si="0"/>
        <v>16.248394227194101</v>
      </c>
      <c r="G25" s="1">
        <f t="shared" si="0"/>
        <v>17.975742908983872</v>
      </c>
      <c r="H25" s="1">
        <f t="shared" si="0"/>
        <v>19.886724104039914</v>
      </c>
      <c r="I25" s="1">
        <f t="shared" si="0"/>
        <v>22.000859580192884</v>
      </c>
      <c r="J25" s="1">
        <f t="shared" si="0"/>
        <v>24.339746442654903</v>
      </c>
      <c r="K25" s="1">
        <f t="shared" si="0"/>
        <v>26.92727776082366</v>
      </c>
      <c r="L25" s="1">
        <f t="shared" si="0"/>
        <v>29.789886649676173</v>
      </c>
      <c r="M25" s="1">
        <f t="shared" si="0"/>
        <v>32.956816299183508</v>
      </c>
      <c r="N25" s="1">
        <f t="shared" si="0"/>
        <v>36.460418710251609</v>
      </c>
      <c r="O25" s="1">
        <f t="shared" si="0"/>
        <v>40.336485188947087</v>
      </c>
      <c r="P25" s="1">
        <f t="shared" si="0"/>
        <v>44.624611975195819</v>
      </c>
      <c r="Q25" s="1">
        <f t="shared" si="0"/>
        <v>49.368604741061006</v>
      </c>
      <c r="R25" s="1">
        <f t="shared" si="0"/>
        <v>54.61692609078235</v>
      </c>
      <c r="S25" s="1">
        <f t="shared" si="0"/>
        <v>60.42319063404571</v>
      </c>
      <c r="T25" s="1">
        <f t="shared" si="0"/>
        <v>66.846712689940247</v>
      </c>
      <c r="U25" s="1">
        <f t="shared" si="0"/>
        <v>73.95311221671291</v>
      </c>
      <c r="V25" s="1">
        <f t="shared" si="0"/>
        <v>81.814985157239761</v>
      </c>
      <c r="W25" s="1">
        <f t="shared" si="0"/>
        <v>90.512645048177333</v>
      </c>
      <c r="X25" s="1">
        <f t="shared" si="0"/>
        <v>100.13494346875632</v>
      </c>
      <c r="Y25" s="1">
        <f t="shared" si="0"/>
        <v>110.78017771057215</v>
      </c>
      <c r="Z25" s="1">
        <f t="shared" si="0"/>
        <v>122.55709494073945</v>
      </c>
      <c r="AA25" s="1">
        <f t="shared" si="0"/>
        <v>135.5860031165123</v>
      </c>
      <c r="AB25" s="1">
        <f t="shared" si="0"/>
        <v>149.99999999999974</v>
      </c>
    </row>
    <row r="26" spans="2:28" x14ac:dyDescent="0.3">
      <c r="C26" s="1"/>
    </row>
    <row r="27" spans="2:28" x14ac:dyDescent="0.3">
      <c r="B27" t="s">
        <v>83</v>
      </c>
      <c r="C27" s="21">
        <v>2.5000000000000001E-2</v>
      </c>
    </row>
    <row r="28" spans="2:28" x14ac:dyDescent="0.3">
      <c r="B28" t="s">
        <v>84</v>
      </c>
      <c r="C28" s="1">
        <f>C15/(AB32-C32)^2</f>
        <v>1.6E-2</v>
      </c>
    </row>
    <row r="29" spans="2:28" x14ac:dyDescent="0.3">
      <c r="B29" t="s">
        <v>158</v>
      </c>
      <c r="C29" s="1">
        <f>(C32-$C32)^2*$C28</f>
        <v>0</v>
      </c>
      <c r="D29" s="1">
        <f t="shared" ref="D29:AB29" si="1">(D32-$C32)^2*$C28</f>
        <v>1.6E-2</v>
      </c>
      <c r="E29" s="1">
        <f>(E32-$C32)^2*$C28</f>
        <v>6.4000000000000001E-2</v>
      </c>
      <c r="F29" s="1">
        <f t="shared" si="1"/>
        <v>0.14400000000000002</v>
      </c>
      <c r="G29" s="1">
        <f t="shared" si="1"/>
        <v>0.25600000000000001</v>
      </c>
      <c r="H29" s="1">
        <f t="shared" si="1"/>
        <v>0.4</v>
      </c>
      <c r="I29" s="1">
        <f t="shared" si="1"/>
        <v>0.57600000000000007</v>
      </c>
      <c r="J29" s="1">
        <f t="shared" si="1"/>
        <v>0.78400000000000003</v>
      </c>
      <c r="K29" s="1">
        <f t="shared" si="1"/>
        <v>1.024</v>
      </c>
      <c r="L29" s="1">
        <f t="shared" si="1"/>
        <v>1.296</v>
      </c>
      <c r="M29" s="1">
        <f t="shared" si="1"/>
        <v>1.6</v>
      </c>
      <c r="N29" s="1">
        <f t="shared" si="1"/>
        <v>1.9359999999999999</v>
      </c>
      <c r="O29" s="1">
        <f t="shared" si="1"/>
        <v>2.3040000000000003</v>
      </c>
      <c r="P29" s="1">
        <f t="shared" si="1"/>
        <v>2.7040000000000002</v>
      </c>
      <c r="Q29" s="1">
        <f t="shared" si="1"/>
        <v>3.1360000000000001</v>
      </c>
      <c r="R29" s="1">
        <f t="shared" si="1"/>
        <v>3.6</v>
      </c>
      <c r="S29" s="1">
        <f t="shared" si="1"/>
        <v>4.0960000000000001</v>
      </c>
      <c r="T29" s="1">
        <f t="shared" si="1"/>
        <v>4.6239999999999997</v>
      </c>
      <c r="U29" s="1">
        <f t="shared" si="1"/>
        <v>5.1840000000000002</v>
      </c>
      <c r="V29" s="1">
        <f t="shared" si="1"/>
        <v>5.7759999999999998</v>
      </c>
      <c r="W29" s="1">
        <f t="shared" si="1"/>
        <v>6.4</v>
      </c>
      <c r="X29" s="1">
        <f t="shared" si="1"/>
        <v>7.056</v>
      </c>
      <c r="Y29" s="1">
        <f t="shared" si="1"/>
        <v>7.7439999999999998</v>
      </c>
      <c r="Z29" s="1">
        <f t="shared" si="1"/>
        <v>8.4640000000000004</v>
      </c>
      <c r="AA29" s="1">
        <f t="shared" si="1"/>
        <v>9.2160000000000011</v>
      </c>
      <c r="AB29" s="1">
        <f t="shared" si="1"/>
        <v>10</v>
      </c>
    </row>
    <row r="30" spans="2:28" x14ac:dyDescent="0.3">
      <c r="C30" s="1"/>
    </row>
    <row r="32" spans="2:28" x14ac:dyDescent="0.3">
      <c r="B32" t="s">
        <v>6</v>
      </c>
      <c r="C32">
        <v>2025</v>
      </c>
      <c r="D32">
        <f>C32+1</f>
        <v>2026</v>
      </c>
      <c r="E32">
        <f t="shared" ref="E32:AB32" si="2">D32+1</f>
        <v>2027</v>
      </c>
      <c r="F32">
        <f t="shared" si="2"/>
        <v>2028</v>
      </c>
      <c r="G32">
        <f t="shared" si="2"/>
        <v>2029</v>
      </c>
      <c r="H32">
        <f t="shared" si="2"/>
        <v>2030</v>
      </c>
      <c r="I32">
        <f t="shared" si="2"/>
        <v>2031</v>
      </c>
      <c r="J32">
        <f t="shared" si="2"/>
        <v>2032</v>
      </c>
      <c r="K32">
        <f t="shared" si="2"/>
        <v>2033</v>
      </c>
      <c r="L32">
        <f t="shared" si="2"/>
        <v>2034</v>
      </c>
      <c r="M32">
        <f t="shared" si="2"/>
        <v>2035</v>
      </c>
      <c r="N32">
        <f t="shared" si="2"/>
        <v>2036</v>
      </c>
      <c r="O32">
        <f t="shared" si="2"/>
        <v>2037</v>
      </c>
      <c r="P32">
        <f t="shared" si="2"/>
        <v>2038</v>
      </c>
      <c r="Q32">
        <f t="shared" si="2"/>
        <v>2039</v>
      </c>
      <c r="R32">
        <f t="shared" si="2"/>
        <v>2040</v>
      </c>
      <c r="S32">
        <f t="shared" si="2"/>
        <v>2041</v>
      </c>
      <c r="T32">
        <f t="shared" si="2"/>
        <v>2042</v>
      </c>
      <c r="U32">
        <f t="shared" si="2"/>
        <v>2043</v>
      </c>
      <c r="V32">
        <f t="shared" si="2"/>
        <v>2044</v>
      </c>
      <c r="W32">
        <f t="shared" si="2"/>
        <v>2045</v>
      </c>
      <c r="X32">
        <f t="shared" si="2"/>
        <v>2046</v>
      </c>
      <c r="Y32">
        <f t="shared" si="2"/>
        <v>2047</v>
      </c>
      <c r="Z32">
        <f t="shared" si="2"/>
        <v>2048</v>
      </c>
      <c r="AA32">
        <f t="shared" si="2"/>
        <v>2049</v>
      </c>
      <c r="AB32">
        <f t="shared" si="2"/>
        <v>2050</v>
      </c>
    </row>
    <row r="33" spans="2:28" x14ac:dyDescent="0.3">
      <c r="B33" t="s">
        <v>55</v>
      </c>
      <c r="C33" s="1">
        <f>'MAIN MODEL'!C33</f>
        <v>0.35730923608385012</v>
      </c>
      <c r="D33" s="1">
        <f>'MAIN MODEL'!D33</f>
        <v>8.92694171027712</v>
      </c>
      <c r="E33" s="1">
        <f>'MAIN MODEL'!E33</f>
        <v>18.015520705709733</v>
      </c>
      <c r="F33" s="1">
        <f>'MAIN MODEL'!F33</f>
        <v>28.385086812436086</v>
      </c>
      <c r="G33" s="1">
        <f>'MAIN MODEL'!G33</f>
        <v>40.768159593189779</v>
      </c>
      <c r="H33" s="1">
        <f>'MAIN MODEL'!H33</f>
        <v>54.347591344634679</v>
      </c>
      <c r="I33" s="1">
        <f>'MAIN MODEL'!I33</f>
        <v>70.226270171692221</v>
      </c>
      <c r="J33" s="1">
        <f>'MAIN MODEL'!J33</f>
        <v>89.729184613355486</v>
      </c>
      <c r="K33" s="1">
        <f>'MAIN MODEL'!K33</f>
        <v>112.3442312567654</v>
      </c>
      <c r="L33" s="1">
        <f>'MAIN MODEL'!L33</f>
        <v>138.80401351750277</v>
      </c>
      <c r="M33" s="1">
        <f>'MAIN MODEL'!M33</f>
        <v>170.27070413974926</v>
      </c>
      <c r="N33" s="1">
        <f>'MAIN MODEL'!N33</f>
        <v>206.16804328153955</v>
      </c>
      <c r="O33" s="1">
        <f>'MAIN MODEL'!O33</f>
        <v>246.11172742102229</v>
      </c>
      <c r="P33" s="1">
        <f>'MAIN MODEL'!P33</f>
        <v>290.03212447742061</v>
      </c>
      <c r="Q33" s="1">
        <f>'MAIN MODEL'!Q33</f>
        <v>336.80757376703036</v>
      </c>
      <c r="R33" s="1">
        <f>'MAIN MODEL'!R33</f>
        <v>385.30908742668908</v>
      </c>
      <c r="S33" s="1">
        <f>'MAIN MODEL'!S33</f>
        <v>434.90545338957395</v>
      </c>
      <c r="T33" s="1">
        <f>'MAIN MODEL'!T33</f>
        <v>484.85283480392724</v>
      </c>
      <c r="U33" s="1">
        <f>'MAIN MODEL'!U33</f>
        <v>534.63461781875787</v>
      </c>
      <c r="V33" s="1">
        <f>'MAIN MODEL'!V33</f>
        <v>584.16369180546917</v>
      </c>
      <c r="W33" s="1">
        <f>'MAIN MODEL'!W33</f>
        <v>633.45976174883526</v>
      </c>
      <c r="X33" s="1">
        <f>'MAIN MODEL'!X33</f>
        <v>682.65542502823951</v>
      </c>
      <c r="Y33" s="1">
        <f>'MAIN MODEL'!Y33</f>
        <v>731.95759559456224</v>
      </c>
      <c r="Z33" s="1">
        <f>'MAIN MODEL'!Z33</f>
        <v>781.63695402123722</v>
      </c>
      <c r="AA33" s="1">
        <f>'MAIN MODEL'!AA33</f>
        <v>832.00922559904461</v>
      </c>
      <c r="AB33" s="1">
        <f>'MAIN MODEL'!AB33</f>
        <v>883.24979854098717</v>
      </c>
    </row>
    <row r="34" spans="2:28" x14ac:dyDescent="0.3">
      <c r="B34" t="s">
        <v>159</v>
      </c>
      <c r="C34" s="1">
        <f>C33*1000/$F3</f>
        <v>0.20394362790174095</v>
      </c>
      <c r="D34" s="1">
        <f t="shared" ref="D34:AB34" si="3">D33*1000/$F3</f>
        <v>5.0952863643134245</v>
      </c>
      <c r="E34" s="1">
        <f t="shared" si="3"/>
        <v>10.282831453030669</v>
      </c>
      <c r="F34" s="1">
        <f t="shared" si="3"/>
        <v>16.201533568742057</v>
      </c>
      <c r="G34" s="1">
        <f t="shared" si="3"/>
        <v>23.269497484697361</v>
      </c>
      <c r="H34" s="1">
        <f t="shared" si="3"/>
        <v>31.020314694426187</v>
      </c>
      <c r="I34" s="1">
        <f t="shared" si="3"/>
        <v>40.083487540920217</v>
      </c>
      <c r="J34" s="1">
        <f t="shared" si="3"/>
        <v>51.215288021321619</v>
      </c>
      <c r="K34" s="1">
        <f t="shared" si="3"/>
        <v>64.123419667103533</v>
      </c>
      <c r="L34" s="1">
        <f t="shared" si="3"/>
        <v>79.226035112729889</v>
      </c>
      <c r="M34" s="1">
        <f t="shared" si="3"/>
        <v>97.186474965610302</v>
      </c>
      <c r="N34" s="1">
        <f t="shared" si="3"/>
        <v>117.67582379083308</v>
      </c>
      <c r="O34" s="1">
        <f t="shared" si="3"/>
        <v>140.47473026314057</v>
      </c>
      <c r="P34" s="1">
        <f t="shared" si="3"/>
        <v>165.54345004418983</v>
      </c>
      <c r="Q34" s="1">
        <f t="shared" si="3"/>
        <v>192.24176584876164</v>
      </c>
      <c r="R34" s="1">
        <f t="shared" si="3"/>
        <v>219.92527821158055</v>
      </c>
      <c r="S34" s="1">
        <f t="shared" si="3"/>
        <v>248.23370627258788</v>
      </c>
      <c r="T34" s="1">
        <f t="shared" si="3"/>
        <v>276.74248561867995</v>
      </c>
      <c r="U34" s="1">
        <f t="shared" si="3"/>
        <v>305.15674533034127</v>
      </c>
      <c r="V34" s="1">
        <f t="shared" si="3"/>
        <v>333.42676472914911</v>
      </c>
      <c r="W34" s="1">
        <f t="shared" si="3"/>
        <v>361.56379095253152</v>
      </c>
      <c r="X34" s="1">
        <f t="shared" si="3"/>
        <v>389.64350743620975</v>
      </c>
      <c r="Y34" s="1">
        <f t="shared" si="3"/>
        <v>417.78401575032092</v>
      </c>
      <c r="Z34" s="1">
        <f t="shared" si="3"/>
        <v>446.13981393906232</v>
      </c>
      <c r="AA34" s="1">
        <f t="shared" si="3"/>
        <v>474.89111050173778</v>
      </c>
      <c r="AB34" s="1">
        <f t="shared" si="3"/>
        <v>504.13801286586028</v>
      </c>
    </row>
    <row r="35" spans="2:28" x14ac:dyDescent="0.3">
      <c r="B35" t="s">
        <v>53</v>
      </c>
      <c r="C35">
        <v>8</v>
      </c>
      <c r="D35" s="1">
        <f>(D34-C34)*$C$5+D34*$C$6</f>
        <v>5.2480127819136229</v>
      </c>
      <c r="E35" s="1">
        <f>((E34-D34)*$C5+E34*$C6)*EXP(-$C27*(E32-$D32))</f>
        <v>5.7614904649098513</v>
      </c>
      <c r="F35" s="1">
        <f t="shared" ref="F35:AB35" si="4">((F34-E34)*$C5+F34*$C6)*EXP(-$C27*(F32-$D32))</f>
        <v>6.7088398890029479</v>
      </c>
      <c r="G35" s="1">
        <f t="shared" si="4"/>
        <v>8.0684262151424466</v>
      </c>
      <c r="H35" s="1">
        <f t="shared" si="4"/>
        <v>8.978013333553438</v>
      </c>
      <c r="I35" s="1">
        <f t="shared" si="4"/>
        <v>10.474370716595315</v>
      </c>
      <c r="J35" s="1">
        <f t="shared" si="4"/>
        <v>12.666927949493854</v>
      </c>
      <c r="K35" s="1">
        <f t="shared" si="4"/>
        <v>14.603841573534433</v>
      </c>
      <c r="L35" s="1">
        <f t="shared" si="4"/>
        <v>16.905511114630784</v>
      </c>
      <c r="M35" s="1">
        <f t="shared" si="4"/>
        <v>19.774050873863729</v>
      </c>
      <c r="N35" s="1">
        <f t="shared" si="4"/>
        <v>22.37234256988781</v>
      </c>
      <c r="O35" s="1">
        <f t="shared" si="4"/>
        <v>24.786462035158067</v>
      </c>
      <c r="P35" s="1">
        <f t="shared" si="4"/>
        <v>27.155996670472959</v>
      </c>
      <c r="Q35" s="1">
        <f t="shared" si="4"/>
        <v>29.013258868650514</v>
      </c>
      <c r="R35" s="1">
        <f t="shared" si="4"/>
        <v>30.356752136523507</v>
      </c>
      <c r="S35" s="1">
        <f t="shared" si="4"/>
        <v>31.398664652654642</v>
      </c>
      <c r="T35" s="1">
        <f t="shared" si="4"/>
        <v>32.095428782687478</v>
      </c>
      <c r="U35" s="1">
        <f t="shared" si="4"/>
        <v>32.541542654104347</v>
      </c>
      <c r="V35" s="1">
        <f t="shared" si="4"/>
        <v>32.90792063425679</v>
      </c>
      <c r="W35" s="1">
        <f t="shared" si="4"/>
        <v>33.23757444034144</v>
      </c>
      <c r="X35" s="1">
        <f t="shared" si="4"/>
        <v>33.574360316651074</v>
      </c>
      <c r="Y35" s="1">
        <f t="shared" si="4"/>
        <v>33.946634945688288</v>
      </c>
      <c r="Z35" s="1">
        <f t="shared" si="4"/>
        <v>34.377892062054634</v>
      </c>
      <c r="AA35" s="1">
        <f t="shared" si="4"/>
        <v>34.884142362603065</v>
      </c>
      <c r="AB35" s="1">
        <f t="shared" si="4"/>
        <v>35.418416873203597</v>
      </c>
    </row>
    <row r="37" spans="2:28" x14ac:dyDescent="0.3">
      <c r="B37" t="s">
        <v>62</v>
      </c>
      <c r="C37" s="1">
        <f>C29</f>
        <v>0</v>
      </c>
      <c r="D37" s="1">
        <f t="shared" ref="D37:AB37" si="5">D29</f>
        <v>1.6E-2</v>
      </c>
      <c r="E37" s="1">
        <f t="shared" si="5"/>
        <v>6.4000000000000001E-2</v>
      </c>
      <c r="F37" s="1">
        <f t="shared" si="5"/>
        <v>0.14400000000000002</v>
      </c>
      <c r="G37" s="1">
        <f t="shared" si="5"/>
        <v>0.25600000000000001</v>
      </c>
      <c r="H37" s="1">
        <f t="shared" si="5"/>
        <v>0.4</v>
      </c>
      <c r="I37" s="1">
        <f t="shared" si="5"/>
        <v>0.57600000000000007</v>
      </c>
      <c r="J37" s="1">
        <f t="shared" si="5"/>
        <v>0.78400000000000003</v>
      </c>
      <c r="K37" s="1">
        <f t="shared" si="5"/>
        <v>1.024</v>
      </c>
      <c r="L37" s="1">
        <f t="shared" si="5"/>
        <v>1.296</v>
      </c>
      <c r="M37" s="1">
        <f t="shared" si="5"/>
        <v>1.6</v>
      </c>
      <c r="N37" s="1">
        <f t="shared" si="5"/>
        <v>1.9359999999999999</v>
      </c>
      <c r="O37" s="1">
        <f t="shared" si="5"/>
        <v>2.3040000000000003</v>
      </c>
      <c r="P37" s="1">
        <f t="shared" si="5"/>
        <v>2.7040000000000002</v>
      </c>
      <c r="Q37" s="1">
        <f t="shared" si="5"/>
        <v>3.1360000000000001</v>
      </c>
      <c r="R37" s="1">
        <f t="shared" si="5"/>
        <v>3.6</v>
      </c>
      <c r="S37" s="1">
        <f t="shared" si="5"/>
        <v>4.0960000000000001</v>
      </c>
      <c r="T37" s="1">
        <f t="shared" si="5"/>
        <v>4.6239999999999997</v>
      </c>
      <c r="U37" s="1">
        <f t="shared" si="5"/>
        <v>5.1840000000000002</v>
      </c>
      <c r="V37" s="1">
        <f t="shared" si="5"/>
        <v>5.7759999999999998</v>
      </c>
      <c r="W37" s="1">
        <f t="shared" si="5"/>
        <v>6.4</v>
      </c>
      <c r="X37" s="1">
        <f t="shared" si="5"/>
        <v>7.056</v>
      </c>
      <c r="Y37" s="1">
        <f t="shared" si="5"/>
        <v>7.7439999999999998</v>
      </c>
      <c r="Z37" s="1">
        <f t="shared" si="5"/>
        <v>8.4640000000000004</v>
      </c>
      <c r="AA37" s="1">
        <f t="shared" si="5"/>
        <v>9.2160000000000011</v>
      </c>
      <c r="AB37" s="1">
        <f t="shared" si="5"/>
        <v>10</v>
      </c>
    </row>
    <row r="38" spans="2:28" x14ac:dyDescent="0.3">
      <c r="B38" t="s">
        <v>160</v>
      </c>
      <c r="C38" s="1">
        <f>C37*$C13*1000</f>
        <v>0</v>
      </c>
      <c r="D38" s="1">
        <f>D37*$C13*1000</f>
        <v>0.54794520547945202</v>
      </c>
      <c r="E38" s="1">
        <f t="shared" ref="E38:AB38" si="6">E37*$C13*1000</f>
        <v>2.1917808219178081</v>
      </c>
      <c r="F38" s="1">
        <f t="shared" si="6"/>
        <v>4.9315068493150696</v>
      </c>
      <c r="G38" s="1">
        <f t="shared" si="6"/>
        <v>8.7671232876712324</v>
      </c>
      <c r="H38" s="1">
        <f t="shared" si="6"/>
        <v>13.698630136986301</v>
      </c>
      <c r="I38" s="1">
        <f t="shared" si="6"/>
        <v>19.726027397260278</v>
      </c>
      <c r="J38" s="1">
        <f t="shared" si="6"/>
        <v>26.849315068493151</v>
      </c>
      <c r="K38" s="1">
        <f t="shared" si="6"/>
        <v>35.06849315068493</v>
      </c>
      <c r="L38" s="1">
        <f t="shared" si="6"/>
        <v>44.38356164383562</v>
      </c>
      <c r="M38" s="1">
        <f t="shared" si="6"/>
        <v>54.794520547945204</v>
      </c>
      <c r="N38" s="1">
        <f t="shared" si="6"/>
        <v>66.30136986301369</v>
      </c>
      <c r="O38" s="1">
        <f t="shared" si="6"/>
        <v>78.904109589041113</v>
      </c>
      <c r="P38" s="1">
        <f t="shared" si="6"/>
        <v>92.602739726027394</v>
      </c>
      <c r="Q38" s="1">
        <f t="shared" si="6"/>
        <v>107.39726027397261</v>
      </c>
      <c r="R38" s="1">
        <f t="shared" si="6"/>
        <v>123.2876712328767</v>
      </c>
      <c r="S38" s="1">
        <f t="shared" si="6"/>
        <v>140.27397260273972</v>
      </c>
      <c r="T38" s="1">
        <f t="shared" si="6"/>
        <v>158.35616438356163</v>
      </c>
      <c r="U38" s="1">
        <f t="shared" si="6"/>
        <v>177.53424657534248</v>
      </c>
      <c r="V38" s="1">
        <f t="shared" si="6"/>
        <v>197.80821917808217</v>
      </c>
      <c r="W38" s="1">
        <f t="shared" si="6"/>
        <v>219.17808219178082</v>
      </c>
      <c r="X38" s="1">
        <f t="shared" si="6"/>
        <v>241.64383561643834</v>
      </c>
      <c r="Y38" s="1">
        <f t="shared" si="6"/>
        <v>265.20547945205476</v>
      </c>
      <c r="Z38" s="1">
        <f t="shared" si="6"/>
        <v>289.86301369863014</v>
      </c>
      <c r="AA38" s="1">
        <f t="shared" si="6"/>
        <v>315.61643835616445</v>
      </c>
      <c r="AB38" s="1">
        <f t="shared" si="6"/>
        <v>342.46575342465752</v>
      </c>
    </row>
    <row r="39" spans="2:28" x14ac:dyDescent="0.3">
      <c r="B39" t="s">
        <v>53</v>
      </c>
      <c r="C39">
        <v>0</v>
      </c>
      <c r="D39" s="1">
        <f>(D38-C38)*$C$5+D38*$C$6</f>
        <v>0.58630136986301362</v>
      </c>
      <c r="E39" s="1">
        <f t="shared" ref="E39:AB39" si="7">(E38-D38)*$C$5+E38*$C$6</f>
        <v>1.7972602739726027</v>
      </c>
      <c r="F39" s="1">
        <f t="shared" si="7"/>
        <v>3.0849315068493164</v>
      </c>
      <c r="G39" s="1">
        <f t="shared" si="7"/>
        <v>4.4493150684931493</v>
      </c>
      <c r="H39" s="1">
        <f t="shared" si="7"/>
        <v>5.89041095890411</v>
      </c>
      <c r="I39" s="1">
        <f t="shared" si="7"/>
        <v>7.4082191780821969</v>
      </c>
      <c r="J39" s="1">
        <f t="shared" si="7"/>
        <v>9.0027397260273947</v>
      </c>
      <c r="K39" s="1">
        <f t="shared" si="7"/>
        <v>10.673972602739724</v>
      </c>
      <c r="L39" s="1">
        <f t="shared" si="7"/>
        <v>12.421917808219185</v>
      </c>
      <c r="M39" s="1">
        <f t="shared" si="7"/>
        <v>14.24657534246575</v>
      </c>
      <c r="N39" s="1">
        <f t="shared" si="7"/>
        <v>16.147945205479445</v>
      </c>
      <c r="O39" s="1">
        <f t="shared" si="7"/>
        <v>18.126027397260302</v>
      </c>
      <c r="P39" s="1">
        <f t="shared" si="7"/>
        <v>20.180821917808199</v>
      </c>
      <c r="Q39" s="1">
        <f t="shared" si="7"/>
        <v>22.312328767123294</v>
      </c>
      <c r="R39" s="1">
        <f t="shared" si="7"/>
        <v>24.520547945205468</v>
      </c>
      <c r="S39" s="1">
        <f t="shared" si="7"/>
        <v>26.805479452054797</v>
      </c>
      <c r="T39" s="1">
        <f t="shared" si="7"/>
        <v>29.167123287671231</v>
      </c>
      <c r="U39" s="1">
        <f t="shared" si="7"/>
        <v>31.605479452054819</v>
      </c>
      <c r="V39" s="1">
        <f t="shared" si="7"/>
        <v>34.120547945205445</v>
      </c>
      <c r="W39" s="1">
        <f t="shared" si="7"/>
        <v>36.71232876712331</v>
      </c>
      <c r="X39" s="1">
        <f t="shared" si="7"/>
        <v>39.380821917808206</v>
      </c>
      <c r="Y39" s="1">
        <f t="shared" si="7"/>
        <v>42.126027397260259</v>
      </c>
      <c r="Z39" s="1">
        <f t="shared" si="7"/>
        <v>44.947945205479492</v>
      </c>
      <c r="AA39" s="1">
        <f t="shared" si="7"/>
        <v>47.846575342465826</v>
      </c>
      <c r="AB39" s="1">
        <f t="shared" si="7"/>
        <v>50.821917808219098</v>
      </c>
    </row>
    <row r="41" spans="2:28" s="4" customFormat="1" x14ac:dyDescent="0.3">
      <c r="B41" s="4" t="s">
        <v>64</v>
      </c>
      <c r="C41" s="5">
        <f>$C17*C37+C39</f>
        <v>0</v>
      </c>
      <c r="D41" s="5">
        <f>$C17*D37+D39</f>
        <v>0.62630136986301366</v>
      </c>
      <c r="E41" s="5">
        <f>($C17*E37+E39)*EXP(-$C27*(E32-$D32))</f>
        <v>1.9089353456247693</v>
      </c>
      <c r="F41" s="5">
        <f>($C17*F37+F39)*EXP(-$C27*(F32-$D32))</f>
        <v>3.2769202147046528</v>
      </c>
      <c r="G41" s="5">
        <f t="shared" ref="G41:AB41" si="8">($C17*G37+G39)*EXP(-$C27*(G32-$D32))</f>
        <v>4.7215789046682719</v>
      </c>
      <c r="H41" s="5">
        <f t="shared" si="8"/>
        <v>6.2347016612614752</v>
      </c>
      <c r="I41" s="5">
        <f t="shared" si="8"/>
        <v>7.8085260180471536</v>
      </c>
      <c r="J41" s="5">
        <f t="shared" si="8"/>
        <v>9.4357175256636303</v>
      </c>
      <c r="K41" s="5">
        <f t="shared" si="8"/>
        <v>11.109351214037202</v>
      </c>
      <c r="L41" s="5">
        <f t="shared" si="8"/>
        <v>12.822893761768748</v>
      </c>
      <c r="M41" s="5">
        <f t="shared" si="8"/>
        <v>14.570186347773836</v>
      </c>
      <c r="N41" s="5">
        <f t="shared" si="8"/>
        <v>16.345428161087128</v>
      </c>
      <c r="O41" s="5">
        <f t="shared" si="8"/>
        <v>18.143160545546777</v>
      </c>
      <c r="P41" s="5">
        <f t="shared" si="8"/>
        <v>19.958251756853699</v>
      </c>
      <c r="Q41" s="5">
        <f t="shared" si="8"/>
        <v>21.785882310255317</v>
      </c>
      <c r="R41" s="5">
        <f t="shared" si="8"/>
        <v>23.621530897831384</v>
      </c>
      <c r="S41" s="5">
        <f t="shared" si="8"/>
        <v>25.460960855068524</v>
      </c>
      <c r="T41" s="5">
        <f t="shared" si="8"/>
        <v>27.300207157090938</v>
      </c>
      <c r="U41" s="5">
        <f t="shared" si="8"/>
        <v>29.135563925578502</v>
      </c>
      <c r="V41" s="5">
        <f t="shared" si="8"/>
        <v>30.96357242804185</v>
      </c>
      <c r="W41" s="5">
        <f t="shared" si="8"/>
        <v>32.781009551745178</v>
      </c>
      <c r="X41" s="5">
        <f t="shared" si="8"/>
        <v>34.584876735164798</v>
      </c>
      <c r="Y41" s="5">
        <f t="shared" si="8"/>
        <v>36.372389340454269</v>
      </c>
      <c r="Z41" s="5">
        <f t="shared" si="8"/>
        <v>38.140966450944994</v>
      </c>
      <c r="AA41" s="5">
        <f t="shared" si="8"/>
        <v>39.888221078256613</v>
      </c>
      <c r="AB41" s="5">
        <f t="shared" si="8"/>
        <v>41.61195076411552</v>
      </c>
    </row>
    <row r="42" spans="2:28" x14ac:dyDescent="0.3">
      <c r="B42" t="s">
        <v>68</v>
      </c>
      <c r="C42" s="1">
        <f>(C37*($C19+$C20)/2-C41)/1000</f>
        <v>0</v>
      </c>
      <c r="D42" s="1">
        <f t="shared" ref="D42:AB42" si="9">(D37*($C19+$C20)/2-D41)/1000</f>
        <v>0.11137369863013699</v>
      </c>
      <c r="E42" s="1">
        <f t="shared" si="9"/>
        <v>0.44609106465437526</v>
      </c>
      <c r="F42" s="1">
        <f t="shared" si="9"/>
        <v>1.0047230797852955</v>
      </c>
      <c r="G42" s="1">
        <f t="shared" si="9"/>
        <v>1.7872784210953316</v>
      </c>
      <c r="H42" s="1">
        <f t="shared" si="9"/>
        <v>2.7937652983387382</v>
      </c>
      <c r="I42" s="1">
        <f t="shared" si="9"/>
        <v>4.0241914739819533</v>
      </c>
      <c r="J42" s="1">
        <f t="shared" si="9"/>
        <v>5.4785642824743359</v>
      </c>
      <c r="K42" s="1">
        <f t="shared" si="9"/>
        <v>7.1568906487859634</v>
      </c>
      <c r="L42" s="1">
        <f t="shared" si="9"/>
        <v>9.0591771062382307</v>
      </c>
      <c r="M42" s="1">
        <f t="shared" si="9"/>
        <v>11.185429813652227</v>
      </c>
      <c r="N42" s="1">
        <f t="shared" si="9"/>
        <v>13.535654571838913</v>
      </c>
      <c r="O42" s="1">
        <f t="shared" si="9"/>
        <v>16.109856839454455</v>
      </c>
      <c r="P42" s="1">
        <f t="shared" si="9"/>
        <v>18.908041748243146</v>
      </c>
      <c r="Q42" s="1">
        <f t="shared" si="9"/>
        <v>21.930214117689747</v>
      </c>
      <c r="R42" s="1">
        <f t="shared" si="9"/>
        <v>25.176378469102168</v>
      </c>
      <c r="S42" s="1">
        <f t="shared" si="9"/>
        <v>28.646539039144933</v>
      </c>
      <c r="T42" s="1">
        <f t="shared" si="9"/>
        <v>32.340699792842905</v>
      </c>
      <c r="U42" s="1">
        <f t="shared" si="9"/>
        <v>36.258864436074425</v>
      </c>
      <c r="V42" s="1">
        <f t="shared" si="9"/>
        <v>40.401036427571952</v>
      </c>
      <c r="W42" s="1">
        <f t="shared" si="9"/>
        <v>44.767218990448256</v>
      </c>
      <c r="X42" s="1">
        <f t="shared" si="9"/>
        <v>49.357415123264836</v>
      </c>
      <c r="Y42" s="1">
        <f t="shared" si="9"/>
        <v>54.171627610659549</v>
      </c>
      <c r="Z42" s="1">
        <f t="shared" si="9"/>
        <v>59.209859033549051</v>
      </c>
      <c r="AA42" s="1">
        <f t="shared" si="9"/>
        <v>64.472111778921757</v>
      </c>
      <c r="AB42" s="1">
        <f t="shared" si="9"/>
        <v>69.958388049235893</v>
      </c>
    </row>
    <row r="44" spans="2:28" x14ac:dyDescent="0.3">
      <c r="B44" t="s">
        <v>90</v>
      </c>
      <c r="C44" s="1">
        <f>C37*$C8</f>
        <v>0</v>
      </c>
      <c r="D44" s="1">
        <f t="shared" ref="D44:AB44" si="10">D37*$C8</f>
        <v>0.1168</v>
      </c>
      <c r="E44" s="1">
        <f t="shared" si="10"/>
        <v>0.4672</v>
      </c>
      <c r="F44" s="1">
        <f t="shared" si="10"/>
        <v>1.0512000000000001</v>
      </c>
      <c r="G44" s="1">
        <f t="shared" si="10"/>
        <v>1.8688</v>
      </c>
      <c r="H44" s="1">
        <f t="shared" si="10"/>
        <v>2.92</v>
      </c>
      <c r="I44" s="1">
        <f t="shared" si="10"/>
        <v>4.2048000000000005</v>
      </c>
      <c r="J44" s="1">
        <f t="shared" si="10"/>
        <v>5.7232000000000003</v>
      </c>
      <c r="K44" s="1">
        <f t="shared" si="10"/>
        <v>7.4752000000000001</v>
      </c>
      <c r="L44" s="1">
        <f t="shared" si="10"/>
        <v>9.4608000000000008</v>
      </c>
      <c r="M44" s="1">
        <f t="shared" si="10"/>
        <v>11.68</v>
      </c>
      <c r="N44" s="1">
        <f t="shared" si="10"/>
        <v>14.1328</v>
      </c>
      <c r="O44" s="1">
        <f t="shared" si="10"/>
        <v>16.819200000000002</v>
      </c>
      <c r="P44" s="1">
        <f t="shared" si="10"/>
        <v>19.7392</v>
      </c>
      <c r="Q44" s="1">
        <f t="shared" si="10"/>
        <v>22.892800000000001</v>
      </c>
      <c r="R44" s="1">
        <f t="shared" si="10"/>
        <v>26.28</v>
      </c>
      <c r="S44" s="1">
        <f t="shared" si="10"/>
        <v>29.9008</v>
      </c>
      <c r="T44" s="1">
        <f t="shared" si="10"/>
        <v>33.755199999999995</v>
      </c>
      <c r="U44" s="1">
        <f t="shared" si="10"/>
        <v>37.843200000000003</v>
      </c>
      <c r="V44" s="1">
        <f t="shared" si="10"/>
        <v>42.1648</v>
      </c>
      <c r="W44" s="1">
        <f t="shared" si="10"/>
        <v>46.72</v>
      </c>
      <c r="X44" s="1">
        <f t="shared" si="10"/>
        <v>51.508800000000001</v>
      </c>
      <c r="Y44" s="1">
        <f t="shared" si="10"/>
        <v>56.531199999999998</v>
      </c>
      <c r="Z44" s="1">
        <f t="shared" si="10"/>
        <v>61.787199999999999</v>
      </c>
      <c r="AA44" s="1">
        <f t="shared" si="10"/>
        <v>67.276800000000009</v>
      </c>
      <c r="AB44" s="1">
        <f t="shared" si="10"/>
        <v>73</v>
      </c>
    </row>
    <row r="45" spans="2:28" x14ac:dyDescent="0.3">
      <c r="B45" t="s">
        <v>85</v>
      </c>
      <c r="C45">
        <f>C44*C25</f>
        <v>0</v>
      </c>
      <c r="D45" s="1">
        <f t="shared" ref="D45:AB45" si="11">D44*D25</f>
        <v>1.5506025339454499</v>
      </c>
      <c r="E45" s="1">
        <f t="shared" si="11"/>
        <v>6.8617814448574483</v>
      </c>
      <c r="F45" s="1">
        <f t="shared" si="11"/>
        <v>17.08031201162644</v>
      </c>
      <c r="G45" s="1">
        <f t="shared" si="11"/>
        <v>33.59306834830906</v>
      </c>
      <c r="H45" s="1">
        <f t="shared" si="11"/>
        <v>58.069234383796548</v>
      </c>
      <c r="I45" s="1">
        <f t="shared" si="11"/>
        <v>92.509214362795049</v>
      </c>
      <c r="J45" s="1">
        <f t="shared" si="11"/>
        <v>139.30123684060254</v>
      </c>
      <c r="K45" s="1">
        <f t="shared" si="11"/>
        <v>201.28678671770902</v>
      </c>
      <c r="L45" s="1">
        <f t="shared" si="11"/>
        <v>281.83615961525635</v>
      </c>
      <c r="M45" s="1">
        <f t="shared" si="11"/>
        <v>384.93561437446334</v>
      </c>
      <c r="N45" s="1">
        <f t="shared" si="11"/>
        <v>515.28780554824391</v>
      </c>
      <c r="O45" s="1">
        <f t="shared" si="11"/>
        <v>678.42741168993894</v>
      </c>
      <c r="P45" s="1">
        <f t="shared" si="11"/>
        <v>880.85414070078536</v>
      </c>
      <c r="Q45" s="1">
        <f t="shared" si="11"/>
        <v>1130.1855946161616</v>
      </c>
      <c r="R45" s="1">
        <f t="shared" si="11"/>
        <v>1435.3328176657603</v>
      </c>
      <c r="S45" s="1">
        <f t="shared" si="11"/>
        <v>1806.7017385104739</v>
      </c>
      <c r="T45" s="1">
        <f t="shared" si="11"/>
        <v>2256.4241561914705</v>
      </c>
      <c r="U45" s="1">
        <f t="shared" si="11"/>
        <v>2798.6224162395101</v>
      </c>
      <c r="V45" s="1">
        <f t="shared" si="11"/>
        <v>3449.7124861579832</v>
      </c>
      <c r="W45" s="1">
        <f t="shared" si="11"/>
        <v>4228.7507766508452</v>
      </c>
      <c r="X45" s="1">
        <f t="shared" si="11"/>
        <v>5157.8307761434753</v>
      </c>
      <c r="Y45" s="1">
        <f t="shared" si="11"/>
        <v>6262.5363821918963</v>
      </c>
      <c r="Z45" s="1">
        <f t="shared" si="11"/>
        <v>7572.4597365224563</v>
      </c>
      <c r="AA45" s="1">
        <f t="shared" si="11"/>
        <v>9121.7924144689769</v>
      </c>
      <c r="AB45" s="1">
        <f t="shared" si="11"/>
        <v>10949.999999999982</v>
      </c>
    </row>
    <row r="46" spans="2:28" x14ac:dyDescent="0.3">
      <c r="D46" s="1"/>
      <c r="E46" s="1"/>
      <c r="F46" s="1"/>
      <c r="G46" s="1"/>
      <c r="H46" s="1"/>
      <c r="I46" s="1"/>
      <c r="J46" s="1"/>
      <c r="K46" s="1"/>
      <c r="L46" s="1"/>
      <c r="M46" s="1"/>
      <c r="N46" s="1"/>
      <c r="O46" s="1"/>
      <c r="P46" s="1"/>
      <c r="Q46" s="1"/>
      <c r="R46" s="1"/>
      <c r="S46" s="1"/>
      <c r="T46" s="1"/>
      <c r="U46" s="1"/>
      <c r="V46" s="1"/>
      <c r="W46" s="1"/>
      <c r="X46" s="1"/>
      <c r="Y46" s="1"/>
      <c r="Z46" s="1"/>
      <c r="AA46" s="1"/>
      <c r="AB46" s="1"/>
    </row>
    <row r="47" spans="2:28" x14ac:dyDescent="0.3">
      <c r="B47" t="s">
        <v>89</v>
      </c>
      <c r="C47" s="1">
        <f>C25*$C8</f>
        <v>87.6</v>
      </c>
      <c r="D47" s="1">
        <f t="shared" ref="D47:AB47" si="12">D25*$C8</f>
        <v>96.912658371590609</v>
      </c>
      <c r="E47" s="1">
        <f t="shared" si="12"/>
        <v>107.21533507589763</v>
      </c>
      <c r="F47" s="1">
        <f t="shared" si="12"/>
        <v>118.61327785851694</v>
      </c>
      <c r="G47" s="1">
        <f t="shared" si="12"/>
        <v>131.22292323558227</v>
      </c>
      <c r="H47" s="1">
        <f t="shared" si="12"/>
        <v>145.17308595949137</v>
      </c>
      <c r="I47" s="1">
        <f t="shared" si="12"/>
        <v>160.60627493540804</v>
      </c>
      <c r="J47" s="1">
        <f t="shared" si="12"/>
        <v>177.68014903138078</v>
      </c>
      <c r="K47" s="1">
        <f t="shared" si="12"/>
        <v>196.5691276540127</v>
      </c>
      <c r="L47" s="1">
        <f t="shared" si="12"/>
        <v>217.46617254263606</v>
      </c>
      <c r="M47" s="1">
        <f t="shared" si="12"/>
        <v>240.58475898403961</v>
      </c>
      <c r="N47" s="1">
        <f t="shared" si="12"/>
        <v>266.16105658483673</v>
      </c>
      <c r="O47" s="1">
        <f t="shared" si="12"/>
        <v>294.45634187931375</v>
      </c>
      <c r="P47" s="1">
        <f t="shared" si="12"/>
        <v>325.7596674189295</v>
      </c>
      <c r="Q47" s="1">
        <f t="shared" si="12"/>
        <v>360.39081460974535</v>
      </c>
      <c r="R47" s="1">
        <f t="shared" si="12"/>
        <v>398.70356046271115</v>
      </c>
      <c r="S47" s="1">
        <f t="shared" si="12"/>
        <v>441.08929162853366</v>
      </c>
      <c r="T47" s="1">
        <f t="shared" si="12"/>
        <v>487.9810026365638</v>
      </c>
      <c r="U47" s="1">
        <f t="shared" si="12"/>
        <v>539.85771918200419</v>
      </c>
      <c r="V47" s="1">
        <f t="shared" si="12"/>
        <v>597.24939164785019</v>
      </c>
      <c r="W47" s="1">
        <f t="shared" si="12"/>
        <v>660.74230885169447</v>
      </c>
      <c r="X47" s="1">
        <f t="shared" si="12"/>
        <v>730.98508732192113</v>
      </c>
      <c r="Y47" s="1">
        <f t="shared" si="12"/>
        <v>808.69529728717669</v>
      </c>
      <c r="Z47" s="1">
        <f t="shared" si="12"/>
        <v>894.66679306739798</v>
      </c>
      <c r="AA47" s="1">
        <f t="shared" si="12"/>
        <v>989.77782275053983</v>
      </c>
      <c r="AB47" s="1">
        <f t="shared" si="12"/>
        <v>1094.9999999999982</v>
      </c>
    </row>
    <row r="48" spans="2:28" x14ac:dyDescent="0.3">
      <c r="D48" s="1"/>
      <c r="E48" s="1"/>
      <c r="F48" s="1"/>
      <c r="G48" s="1"/>
      <c r="H48" s="1"/>
      <c r="I48" s="1"/>
      <c r="J48" s="1"/>
      <c r="K48" s="1"/>
      <c r="L48" s="1"/>
      <c r="M48" s="1"/>
      <c r="N48" s="1"/>
      <c r="O48" s="1"/>
      <c r="P48" s="1"/>
      <c r="Q48" s="1"/>
      <c r="R48" s="1"/>
      <c r="S48" s="1"/>
      <c r="T48" s="1"/>
      <c r="U48" s="1"/>
      <c r="V48" s="1"/>
      <c r="W48" s="1"/>
      <c r="X48" s="1"/>
      <c r="Y48" s="1"/>
      <c r="Z48" s="1"/>
      <c r="AA48" s="1"/>
      <c r="AB48" s="1"/>
    </row>
    <row r="49" spans="2:28" x14ac:dyDescent="0.3">
      <c r="B49" t="s">
        <v>91</v>
      </c>
      <c r="D49" s="1">
        <f>D41*1.2/D37</f>
        <v>46.972602739726028</v>
      </c>
      <c r="E49" s="1">
        <f t="shared" ref="E49:AB49" si="13">E41*1.1/E37</f>
        <v>32.809826252925724</v>
      </c>
      <c r="F49" s="1">
        <f t="shared" si="13"/>
        <v>25.032029417882764</v>
      </c>
      <c r="G49" s="1">
        <f t="shared" si="13"/>
        <v>20.288034355996484</v>
      </c>
      <c r="H49" s="1">
        <f t="shared" si="13"/>
        <v>17.145429568469055</v>
      </c>
      <c r="I49" s="1">
        <f t="shared" si="13"/>
        <v>14.91211565946505</v>
      </c>
      <c r="J49" s="1">
        <f t="shared" si="13"/>
        <v>13.238889385497441</v>
      </c>
      <c r="K49" s="1">
        <f t="shared" si="13"/>
        <v>11.933873374454025</v>
      </c>
      <c r="L49" s="1">
        <f t="shared" si="13"/>
        <v>10.883628964464217</v>
      </c>
      <c r="M49" s="1">
        <f t="shared" si="13"/>
        <v>10.017003114094512</v>
      </c>
      <c r="N49" s="1">
        <f t="shared" si="13"/>
        <v>9.2871750915267768</v>
      </c>
      <c r="O49" s="1">
        <f t="shared" si="13"/>
        <v>8.6620992187940349</v>
      </c>
      <c r="P49" s="1">
        <f t="shared" si="13"/>
        <v>8.119111291619479</v>
      </c>
      <c r="Q49" s="1">
        <f t="shared" si="13"/>
        <v>7.6417316777043522</v>
      </c>
      <c r="R49" s="1">
        <f t="shared" si="13"/>
        <v>7.2176899965595904</v>
      </c>
      <c r="S49" s="1">
        <f t="shared" si="13"/>
        <v>6.8376603858826606</v>
      </c>
      <c r="T49" s="1">
        <f t="shared" si="13"/>
        <v>6.4944264430795924</v>
      </c>
      <c r="U49" s="1">
        <f t="shared" si="13"/>
        <v>6.1823148761837095</v>
      </c>
      <c r="V49" s="1">
        <f t="shared" si="13"/>
        <v>5.8968022283320707</v>
      </c>
      <c r="W49" s="1">
        <f t="shared" si="13"/>
        <v>5.6342360167062031</v>
      </c>
      <c r="X49" s="1">
        <f t="shared" si="13"/>
        <v>5.3916332778743303</v>
      </c>
      <c r="Y49" s="1">
        <f t="shared" si="13"/>
        <v>5.1665325767690726</v>
      </c>
      <c r="Z49" s="1">
        <f t="shared" si="13"/>
        <v>4.9568836361105264</v>
      </c>
      <c r="AA49" s="1">
        <f t="shared" si="13"/>
        <v>4.7609638873787183</v>
      </c>
      <c r="AB49" s="1">
        <f t="shared" si="13"/>
        <v>4.5773145840527079</v>
      </c>
    </row>
    <row r="52" spans="2:28" x14ac:dyDescent="0.3">
      <c r="C52" t="s">
        <v>81</v>
      </c>
      <c r="E52" t="s">
        <v>82</v>
      </c>
    </row>
    <row r="53" spans="2:28" x14ac:dyDescent="0.3">
      <c r="C53">
        <v>1.75</v>
      </c>
      <c r="D53" t="s">
        <v>38</v>
      </c>
      <c r="E53" t="s">
        <v>80</v>
      </c>
    </row>
    <row r="54" spans="2:28" x14ac:dyDescent="0.3">
      <c r="B54" t="s">
        <v>161</v>
      </c>
    </row>
    <row r="55" spans="2:28" x14ac:dyDescent="0.3">
      <c r="B55" t="s">
        <v>95</v>
      </c>
      <c r="C55" s="1">
        <f>C34</f>
        <v>0.20394362790174095</v>
      </c>
      <c r="D55" s="1">
        <f t="shared" ref="D55:AB55" si="14">D34</f>
        <v>5.0952863643134245</v>
      </c>
      <c r="E55" s="1">
        <f t="shared" si="14"/>
        <v>10.282831453030669</v>
      </c>
      <c r="F55" s="1">
        <f t="shared" si="14"/>
        <v>16.201533568742057</v>
      </c>
      <c r="G55" s="1">
        <f t="shared" si="14"/>
        <v>23.269497484697361</v>
      </c>
      <c r="H55" s="1">
        <f t="shared" si="14"/>
        <v>31.020314694426187</v>
      </c>
      <c r="I55" s="1">
        <f t="shared" si="14"/>
        <v>40.083487540920217</v>
      </c>
      <c r="J55" s="1">
        <f t="shared" si="14"/>
        <v>51.215288021321619</v>
      </c>
      <c r="K55" s="1">
        <f t="shared" si="14"/>
        <v>64.123419667103533</v>
      </c>
      <c r="L55" s="1">
        <f t="shared" si="14"/>
        <v>79.226035112729889</v>
      </c>
      <c r="M55" s="1">
        <f t="shared" si="14"/>
        <v>97.186474965610302</v>
      </c>
      <c r="N55" s="1">
        <f t="shared" si="14"/>
        <v>117.67582379083308</v>
      </c>
      <c r="O55" s="1">
        <f t="shared" si="14"/>
        <v>140.47473026314057</v>
      </c>
      <c r="P55" s="1">
        <f t="shared" si="14"/>
        <v>165.54345004418983</v>
      </c>
      <c r="Q55" s="1">
        <f t="shared" si="14"/>
        <v>192.24176584876164</v>
      </c>
      <c r="R55" s="1">
        <f t="shared" si="14"/>
        <v>219.92527821158055</v>
      </c>
      <c r="S55" s="1">
        <f t="shared" si="14"/>
        <v>248.23370627258788</v>
      </c>
      <c r="T55" s="1">
        <f t="shared" si="14"/>
        <v>276.74248561867995</v>
      </c>
      <c r="U55" s="1">
        <f t="shared" si="14"/>
        <v>305.15674533034127</v>
      </c>
      <c r="V55" s="1">
        <f t="shared" si="14"/>
        <v>333.42676472914911</v>
      </c>
      <c r="W55" s="1">
        <f t="shared" si="14"/>
        <v>361.56379095253152</v>
      </c>
      <c r="X55" s="1">
        <f t="shared" si="14"/>
        <v>389.64350743620975</v>
      </c>
      <c r="Y55" s="1">
        <f t="shared" si="14"/>
        <v>417.78401575032092</v>
      </c>
      <c r="Z55" s="1">
        <f t="shared" si="14"/>
        <v>446.13981393906232</v>
      </c>
      <c r="AA55" s="1">
        <f t="shared" si="14"/>
        <v>474.89111050173778</v>
      </c>
      <c r="AB55" s="1">
        <f t="shared" si="14"/>
        <v>504.13801286586028</v>
      </c>
    </row>
    <row r="56" spans="2:28" x14ac:dyDescent="0.3">
      <c r="B56" t="s">
        <v>96</v>
      </c>
      <c r="C56" s="1">
        <f>C38</f>
        <v>0</v>
      </c>
      <c r="D56" s="1">
        <f t="shared" ref="D56:AB56" si="15">D38</f>
        <v>0.54794520547945202</v>
      </c>
      <c r="E56" s="1">
        <f t="shared" si="15"/>
        <v>2.1917808219178081</v>
      </c>
      <c r="F56" s="1">
        <f t="shared" si="15"/>
        <v>4.9315068493150696</v>
      </c>
      <c r="G56" s="1">
        <f t="shared" si="15"/>
        <v>8.7671232876712324</v>
      </c>
      <c r="H56" s="1">
        <f t="shared" si="15"/>
        <v>13.698630136986301</v>
      </c>
      <c r="I56" s="1">
        <f t="shared" si="15"/>
        <v>19.726027397260278</v>
      </c>
      <c r="J56" s="1">
        <f t="shared" si="15"/>
        <v>26.849315068493151</v>
      </c>
      <c r="K56" s="1">
        <f t="shared" si="15"/>
        <v>35.06849315068493</v>
      </c>
      <c r="L56" s="1">
        <f t="shared" si="15"/>
        <v>44.38356164383562</v>
      </c>
      <c r="M56" s="1">
        <f t="shared" si="15"/>
        <v>54.794520547945204</v>
      </c>
      <c r="N56" s="1">
        <f t="shared" si="15"/>
        <v>66.30136986301369</v>
      </c>
      <c r="O56" s="1">
        <f t="shared" si="15"/>
        <v>78.904109589041113</v>
      </c>
      <c r="P56" s="1">
        <f t="shared" si="15"/>
        <v>92.602739726027394</v>
      </c>
      <c r="Q56" s="1">
        <f t="shared" si="15"/>
        <v>107.39726027397261</v>
      </c>
      <c r="R56" s="1">
        <f t="shared" si="15"/>
        <v>123.2876712328767</v>
      </c>
      <c r="S56" s="1">
        <f t="shared" si="15"/>
        <v>140.27397260273972</v>
      </c>
      <c r="T56" s="1">
        <f t="shared" si="15"/>
        <v>158.35616438356163</v>
      </c>
      <c r="U56" s="1">
        <f t="shared" si="15"/>
        <v>177.53424657534248</v>
      </c>
      <c r="V56" s="1">
        <f t="shared" si="15"/>
        <v>197.80821917808217</v>
      </c>
      <c r="W56" s="1">
        <f t="shared" si="15"/>
        <v>219.17808219178082</v>
      </c>
      <c r="X56" s="1">
        <f t="shared" si="15"/>
        <v>241.64383561643834</v>
      </c>
      <c r="Y56" s="1">
        <f t="shared" si="15"/>
        <v>265.20547945205476</v>
      </c>
      <c r="Z56" s="1">
        <f t="shared" si="15"/>
        <v>289.86301369863014</v>
      </c>
      <c r="AA56" s="1">
        <f t="shared" si="15"/>
        <v>315.61643835616445</v>
      </c>
      <c r="AB56" s="1">
        <f t="shared" si="15"/>
        <v>342.46575342465752</v>
      </c>
    </row>
    <row r="60" spans="2:28" x14ac:dyDescent="0.3">
      <c r="B60" t="s">
        <v>97</v>
      </c>
      <c r="C60">
        <f>(C19/2+C20/2)</f>
        <v>7000</v>
      </c>
      <c r="D60" s="7">
        <f>C60*EXP(-0.05)</f>
        <v>6658.6059715049978</v>
      </c>
      <c r="E60" s="7">
        <f t="shared" ref="E60:AB60" si="16">D60*EXP(-0.05)</f>
        <v>6333.8619262517168</v>
      </c>
      <c r="F60" s="7">
        <f t="shared" si="16"/>
        <v>6024.9558349754043</v>
      </c>
      <c r="G60" s="7">
        <f t="shared" si="16"/>
        <v>5731.1152715458729</v>
      </c>
      <c r="H60" s="7">
        <f t="shared" si="16"/>
        <v>5451.6054814998342</v>
      </c>
      <c r="I60" s="7">
        <f t="shared" si="16"/>
        <v>5185.7275447720249</v>
      </c>
      <c r="J60" s="7">
        <f t="shared" si="16"/>
        <v>4932.8166280309943</v>
      </c>
      <c r="K60" s="7">
        <f t="shared" si="16"/>
        <v>4692.240322249475</v>
      </c>
      <c r="L60" s="7">
        <f t="shared" si="16"/>
        <v>4463.3970613524125</v>
      </c>
      <c r="M60" s="7">
        <f t="shared" si="16"/>
        <v>4245.714617988433</v>
      </c>
      <c r="N60" s="7">
        <f t="shared" si="16"/>
        <v>4038.6486726634062</v>
      </c>
      <c r="O60" s="7">
        <f t="shared" si="16"/>
        <v>3841.6814526581843</v>
      </c>
      <c r="P60" s="7">
        <f t="shared" si="16"/>
        <v>3654.3204373271114</v>
      </c>
      <c r="Q60" s="7">
        <f t="shared" si="16"/>
        <v>3476.0971265398657</v>
      </c>
      <c r="R60" s="7">
        <f t="shared" si="16"/>
        <v>3306.5658691871022</v>
      </c>
      <c r="S60" s="7">
        <f t="shared" si="16"/>
        <v>3145.3027488205503</v>
      </c>
      <c r="T60" s="7">
        <f t="shared" si="16"/>
        <v>2991.9045236410857</v>
      </c>
      <c r="U60" s="7">
        <f t="shared" si="16"/>
        <v>2845.9876181841928</v>
      </c>
      <c r="V60" s="7">
        <f t="shared" si="16"/>
        <v>2707.1871641815073</v>
      </c>
      <c r="W60" s="7">
        <f t="shared" si="16"/>
        <v>2575.1560882000954</v>
      </c>
      <c r="X60" s="7">
        <f t="shared" si="16"/>
        <v>2449.5642437780866</v>
      </c>
      <c r="Y60" s="7">
        <f t="shared" si="16"/>
        <v>2330.0975858865559</v>
      </c>
      <c r="Z60" s="7">
        <f t="shared" si="16"/>
        <v>2216.4573856533716</v>
      </c>
      <c r="AA60" s="7">
        <f t="shared" si="16"/>
        <v>2108.359483385414</v>
      </c>
      <c r="AB60" s="7">
        <f t="shared" si="16"/>
        <v>2005.5335780213302</v>
      </c>
    </row>
    <row r="61" spans="2:28" x14ac:dyDescent="0.3">
      <c r="B61" t="s">
        <v>98</v>
      </c>
      <c r="C61" s="1">
        <f>C47</f>
        <v>87.6</v>
      </c>
      <c r="D61" s="1">
        <f t="shared" ref="D61:AB61" si="17">D47</f>
        <v>96.912658371590609</v>
      </c>
      <c r="E61" s="1">
        <f t="shared" si="17"/>
        <v>107.21533507589763</v>
      </c>
      <c r="F61" s="1">
        <f t="shared" si="17"/>
        <v>118.61327785851694</v>
      </c>
      <c r="G61" s="1">
        <f t="shared" si="17"/>
        <v>131.22292323558227</v>
      </c>
      <c r="H61" s="1">
        <f t="shared" si="17"/>
        <v>145.17308595949137</v>
      </c>
      <c r="I61" s="1">
        <f t="shared" si="17"/>
        <v>160.60627493540804</v>
      </c>
      <c r="J61" s="1">
        <f t="shared" si="17"/>
        <v>177.68014903138078</v>
      </c>
      <c r="K61" s="1">
        <f t="shared" si="17"/>
        <v>196.5691276540127</v>
      </c>
      <c r="L61" s="1">
        <f t="shared" si="17"/>
        <v>217.46617254263606</v>
      </c>
      <c r="M61" s="1">
        <f t="shared" si="17"/>
        <v>240.58475898403961</v>
      </c>
      <c r="N61" s="1">
        <f t="shared" si="17"/>
        <v>266.16105658483673</v>
      </c>
      <c r="O61" s="1">
        <f t="shared" si="17"/>
        <v>294.45634187931375</v>
      </c>
      <c r="P61" s="1">
        <f t="shared" si="17"/>
        <v>325.7596674189295</v>
      </c>
      <c r="Q61" s="1">
        <f t="shared" si="17"/>
        <v>360.39081460974535</v>
      </c>
      <c r="R61" s="1">
        <f t="shared" si="17"/>
        <v>398.70356046271115</v>
      </c>
      <c r="S61" s="1">
        <f t="shared" si="17"/>
        <v>441.08929162853366</v>
      </c>
      <c r="T61" s="1">
        <f t="shared" si="17"/>
        <v>487.9810026365638</v>
      </c>
      <c r="U61" s="1">
        <f t="shared" si="17"/>
        <v>539.85771918200419</v>
      </c>
      <c r="V61" s="1">
        <f t="shared" si="17"/>
        <v>597.24939164785019</v>
      </c>
      <c r="W61" s="1">
        <f t="shared" si="17"/>
        <v>660.74230885169447</v>
      </c>
      <c r="X61" s="1">
        <f t="shared" si="17"/>
        <v>730.98508732192113</v>
      </c>
      <c r="Y61" s="1">
        <f t="shared" si="17"/>
        <v>808.69529728717669</v>
      </c>
      <c r="Z61" s="1">
        <f t="shared" si="17"/>
        <v>894.66679306739798</v>
      </c>
      <c r="AA61" s="1">
        <f t="shared" si="17"/>
        <v>989.77782275053983</v>
      </c>
      <c r="AB61" s="1">
        <f t="shared" si="17"/>
        <v>1094.9999999999982</v>
      </c>
    </row>
    <row r="62" spans="2:28" x14ac:dyDescent="0.3">
      <c r="B62" t="s">
        <v>162</v>
      </c>
      <c r="C62" s="7">
        <f>C60+C61</f>
        <v>7087.6</v>
      </c>
      <c r="D62" s="7">
        <f t="shared" ref="D62:AB62" si="18">D60+D61</f>
        <v>6755.5186298765884</v>
      </c>
      <c r="E62" s="7">
        <f t="shared" si="18"/>
        <v>6441.077261327614</v>
      </c>
      <c r="F62" s="7">
        <f t="shared" si="18"/>
        <v>6143.5691128339213</v>
      </c>
      <c r="G62" s="7">
        <f t="shared" si="18"/>
        <v>5862.3381947814551</v>
      </c>
      <c r="H62" s="7">
        <f t="shared" si="18"/>
        <v>5596.778567459326</v>
      </c>
      <c r="I62" s="7">
        <f t="shared" si="18"/>
        <v>5346.3338197074327</v>
      </c>
      <c r="J62" s="7">
        <f t="shared" si="18"/>
        <v>5110.4967770623753</v>
      </c>
      <c r="K62" s="7">
        <f t="shared" si="18"/>
        <v>4888.8094499034878</v>
      </c>
      <c r="L62" s="7">
        <f t="shared" si="18"/>
        <v>4680.8632338950483</v>
      </c>
      <c r="M62" s="7">
        <f t="shared" si="18"/>
        <v>4486.2993769724726</v>
      </c>
      <c r="N62" s="7">
        <f t="shared" si="18"/>
        <v>4304.8097292482425</v>
      </c>
      <c r="O62" s="7">
        <f t="shared" si="18"/>
        <v>4136.1377945374979</v>
      </c>
      <c r="P62" s="7">
        <f t="shared" si="18"/>
        <v>3980.0801047460409</v>
      </c>
      <c r="Q62" s="7">
        <f t="shared" si="18"/>
        <v>3836.4879411496113</v>
      </c>
      <c r="R62" s="7">
        <f t="shared" si="18"/>
        <v>3705.2694296498134</v>
      </c>
      <c r="S62" s="7">
        <f t="shared" si="18"/>
        <v>3586.3920404490841</v>
      </c>
      <c r="T62" s="7">
        <f t="shared" si="18"/>
        <v>3479.8855262776497</v>
      </c>
      <c r="U62" s="7">
        <f t="shared" si="18"/>
        <v>3385.8453373661969</v>
      </c>
      <c r="V62" s="7">
        <f t="shared" si="18"/>
        <v>3304.4365558293575</v>
      </c>
      <c r="W62" s="7">
        <f t="shared" si="18"/>
        <v>3235.8983970517897</v>
      </c>
      <c r="X62" s="7">
        <f t="shared" si="18"/>
        <v>3180.5493311000077</v>
      </c>
      <c r="Y62" s="7">
        <f t="shared" si="18"/>
        <v>3138.7928831737327</v>
      </c>
      <c r="Z62" s="7">
        <f t="shared" si="18"/>
        <v>3111.1241787207696</v>
      </c>
      <c r="AA62" s="7">
        <f t="shared" si="18"/>
        <v>3098.1373061359536</v>
      </c>
      <c r="AB62" s="7">
        <f t="shared" si="18"/>
        <v>3100.5335780213281</v>
      </c>
    </row>
    <row r="64" spans="2:28" x14ac:dyDescent="0.3">
      <c r="B64" t="s">
        <v>99</v>
      </c>
      <c r="C64">
        <f>C37*C62/1000</f>
        <v>0</v>
      </c>
      <c r="D64" s="1">
        <f>D37*D62/1000</f>
        <v>0.10808829807802542</v>
      </c>
      <c r="E64" s="1">
        <f>E37*E62/1000</f>
        <v>0.41222894472496729</v>
      </c>
      <c r="F64" s="1">
        <f t="shared" ref="F64:AB64" si="19">F37*F62/1000</f>
        <v>0.88467395224808476</v>
      </c>
      <c r="G64" s="1">
        <f t="shared" si="19"/>
        <v>1.5007585778640526</v>
      </c>
      <c r="H64" s="1">
        <f t="shared" si="19"/>
        <v>2.2387114269837305</v>
      </c>
      <c r="I64" s="1">
        <f t="shared" si="19"/>
        <v>3.0794882801514816</v>
      </c>
      <c r="J64" s="1">
        <f t="shared" si="19"/>
        <v>4.0066294732169023</v>
      </c>
      <c r="K64" s="1">
        <f t="shared" si="19"/>
        <v>5.0061408767011715</v>
      </c>
      <c r="L64" s="1">
        <f t="shared" si="19"/>
        <v>6.0663987511279833</v>
      </c>
      <c r="M64" s="1">
        <f t="shared" si="19"/>
        <v>7.1780790031559567</v>
      </c>
      <c r="N64" s="1">
        <f t="shared" si="19"/>
        <v>8.3341116358245984</v>
      </c>
      <c r="O64" s="1">
        <f t="shared" si="19"/>
        <v>9.5296614786143969</v>
      </c>
      <c r="P64" s="1">
        <f t="shared" si="19"/>
        <v>10.762136603233296</v>
      </c>
      <c r="Q64" s="1">
        <f t="shared" si="19"/>
        <v>12.031226183445183</v>
      </c>
      <c r="R64" s="1">
        <f t="shared" si="19"/>
        <v>13.338969946739329</v>
      </c>
      <c r="S64" s="1">
        <f t="shared" si="19"/>
        <v>14.689861797679448</v>
      </c>
      <c r="T64" s="1">
        <f t="shared" si="19"/>
        <v>16.09099067350785</v>
      </c>
      <c r="U64" s="1">
        <f t="shared" si="19"/>
        <v>17.552222228906366</v>
      </c>
      <c r="V64" s="1">
        <f t="shared" si="19"/>
        <v>19.086425546470366</v>
      </c>
      <c r="W64" s="1">
        <f t="shared" si="19"/>
        <v>20.709749741131454</v>
      </c>
      <c r="X64" s="1">
        <f t="shared" si="19"/>
        <v>22.441956080241656</v>
      </c>
      <c r="Y64" s="1">
        <f t="shared" si="19"/>
        <v>24.306812087297384</v>
      </c>
      <c r="Z64" s="1">
        <f t="shared" si="19"/>
        <v>26.332555048692598</v>
      </c>
      <c r="AA64" s="1">
        <f t="shared" si="19"/>
        <v>28.55243341334895</v>
      </c>
      <c r="AB64" s="1">
        <f t="shared" si="19"/>
        <v>31.005335780213283</v>
      </c>
    </row>
    <row r="65" spans="2:28" x14ac:dyDescent="0.3">
      <c r="B65" t="s">
        <v>163</v>
      </c>
      <c r="C65">
        <f>C64/'MAIN MODEL'!$C$12*100</f>
        <v>0</v>
      </c>
      <c r="D65" s="1">
        <f>D64/'MAIN MODEL'!C$12*100</f>
        <v>0.32559704426205888</v>
      </c>
      <c r="E65" s="1">
        <f>E64/'MAIN MODEL'!D$12*100</f>
        <v>1.1782724905778481</v>
      </c>
      <c r="F65" s="1">
        <f>F64/'MAIN MODEL'!E$12*100</f>
        <v>2.3910461419641016</v>
      </c>
      <c r="G65" s="1">
        <f>G64/'MAIN MODEL'!F$12*100</f>
        <v>3.8201534198712426</v>
      </c>
      <c r="H65" s="1">
        <f>H64/'MAIN MODEL'!G$12*100</f>
        <v>5.3319641942012472</v>
      </c>
      <c r="I65" s="1">
        <f>I64/'MAIN MODEL'!H$12*100</f>
        <v>6.8475857003852534</v>
      </c>
      <c r="J65" s="1">
        <f>J64/'MAIN MODEL'!I$12*100</f>
        <v>8.2678029545301435</v>
      </c>
      <c r="K65" s="1">
        <f>K64/'MAIN MODEL'!J$12*100</f>
        <v>9.4887488603211914</v>
      </c>
      <c r="L65" s="1">
        <f>L64/'MAIN MODEL'!K$12*100</f>
        <v>10.492983072518825</v>
      </c>
      <c r="M65" s="1">
        <f>M64/'MAIN MODEL'!L$12*100</f>
        <v>11.242175094903315</v>
      </c>
      <c r="N65" s="1">
        <f>N64/'MAIN MODEL'!M$12*100</f>
        <v>11.701019782599939</v>
      </c>
      <c r="O65" s="1">
        <f>O64/'MAIN MODEL'!N$12*100</f>
        <v>11.920459684495031</v>
      </c>
      <c r="P65" s="1">
        <f>P64/'MAIN MODEL'!O$12*100</f>
        <v>11.949673944216746</v>
      </c>
      <c r="Q65" s="1">
        <f>Q64/'MAIN MODEL'!P$12*100</f>
        <v>11.827379089665516</v>
      </c>
      <c r="R65" s="1">
        <f>R64/'MAIN MODEL'!Q$12*100</f>
        <v>11.618957410921873</v>
      </c>
      <c r="S65" s="1">
        <f>S64/'MAIN MODEL'!R$12*100</f>
        <v>11.374951579414029</v>
      </c>
      <c r="T65" s="1">
        <f>T64/'MAIN MODEL'!S$12*100</f>
        <v>11.122503315873281</v>
      </c>
      <c r="U65" s="1">
        <f>U64/'MAIN MODEL'!T$12*100</f>
        <v>10.884859275341363</v>
      </c>
      <c r="V65" s="1">
        <f>V64/'MAIN MODEL'!U$12*100</f>
        <v>10.675536743406584</v>
      </c>
      <c r="W65" s="1">
        <f>W64/'MAIN MODEL'!V$12*100</f>
        <v>10.498460207337489</v>
      </c>
      <c r="X65" s="1">
        <f>X64/'MAIN MODEL'!W$12*100</f>
        <v>10.355981583955517</v>
      </c>
      <c r="Y65" s="1">
        <f>Y64/'MAIN MODEL'!X$12*100</f>
        <v>10.249099705667307</v>
      </c>
      <c r="Z65" s="1">
        <f>Z64/'MAIN MODEL'!Y$12*100</f>
        <v>10.178448747056201</v>
      </c>
      <c r="AA65" s="1">
        <f>AA64/'MAIN MODEL'!Z$12*100</f>
        <v>10.144337495297034</v>
      </c>
      <c r="AB65" s="1">
        <f>AB64/'MAIN MODEL'!AA$12*100</f>
        <v>10.147032635937229</v>
      </c>
    </row>
    <row r="67" spans="2:28" x14ac:dyDescent="0.3">
      <c r="B67" t="s">
        <v>105</v>
      </c>
      <c r="C67" s="1">
        <f>C41*NEW!C10</f>
        <v>0</v>
      </c>
      <c r="D67" s="1">
        <f>D41*NEW!D10</f>
        <v>9.7468020154936302E-2</v>
      </c>
      <c r="E67" s="1">
        <f>E41*NEW!E10</f>
        <v>0.28895406093329301</v>
      </c>
      <c r="F67" s="1">
        <f>F41*NEW!F10</f>
        <v>0.48246104218467772</v>
      </c>
      <c r="G67" s="1">
        <f>G41*NEW!G10</f>
        <v>0.67614903904683821</v>
      </c>
      <c r="H67" s="1">
        <f>H41*NEW!H10</f>
        <v>0.86841968691111326</v>
      </c>
      <c r="I67" s="1">
        <f>I41*NEW!I10</f>
        <v>1.0578932483587611</v>
      </c>
      <c r="J67" s="1">
        <f>J41*NEW!J10</f>
        <v>1.2433875512977242</v>
      </c>
      <c r="K67" s="1">
        <f>K41*NEW!K10</f>
        <v>1.4238986587406242</v>
      </c>
      <c r="L67" s="1">
        <f>L41*NEW!L10</f>
        <v>1.5985831404671667</v>
      </c>
      <c r="M67" s="1">
        <f>M41*NEW!M10</f>
        <v>1.7667418259571548</v>
      </c>
      <c r="N67" s="1">
        <f>N41*NEW!N10</f>
        <v>1.9278049265067074</v>
      </c>
      <c r="O67" s="1">
        <f>O41*NEW!O10</f>
        <v>2.08131842239044</v>
      </c>
      <c r="P67" s="1">
        <f>P41*NEW!P10</f>
        <v>2.2269316183438836</v>
      </c>
      <c r="Q67" s="1">
        <f>Q41*NEW!Q10</f>
        <v>2.3643857775486441</v>
      </c>
      <c r="R67" s="1">
        <f>R41*NEW!R10</f>
        <v>2.4935037507403885</v>
      </c>
      <c r="S67" s="1">
        <f>S41*NEW!S10</f>
        <v>2.6141805230584234</v>
      </c>
      <c r="T67" s="1">
        <f>T41*NEW!T10</f>
        <v>2.7263746068431236</v>
      </c>
      <c r="U67" s="1">
        <f>U41*NEW!U10</f>
        <v>2.8301002137921829</v>
      </c>
      <c r="V67" s="1">
        <f>V41*NEW!V10</f>
        <v>2.9254201447327337</v>
      </c>
      <c r="W67" s="1">
        <f>W41*NEW!W10</f>
        <v>3.0124393397785423</v>
      </c>
      <c r="X67" s="1">
        <f>X41*NEW!X10</f>
        <v>3.0912990358410228</v>
      </c>
      <c r="Y67" s="1">
        <f>Y41*NEW!Y10</f>
        <v>3.1621714823714266</v>
      </c>
      <c r="Z67" s="1">
        <f>Z41*NEW!Z10</f>
        <v>3.2252551698476175</v>
      </c>
      <c r="AA67" s="1">
        <f>AA41*NEW!AA10</f>
        <v>3.2807705289015665</v>
      </c>
      <c r="AB67" s="1">
        <f>AB41*NEW!AB10</f>
        <v>3.3289560611292415</v>
      </c>
    </row>
    <row r="68" spans="2:28" x14ac:dyDescent="0.3">
      <c r="B68" t="s">
        <v>106</v>
      </c>
      <c r="C68" s="1">
        <f>C64-1.1*C67</f>
        <v>0</v>
      </c>
      <c r="D68" s="1">
        <f t="shared" ref="D68:AB68" si="20">D64-1.1*D67</f>
        <v>8.7347590759548344E-4</v>
      </c>
      <c r="E68" s="1">
        <f t="shared" si="20"/>
        <v>9.4379477698344982E-2</v>
      </c>
      <c r="F68" s="1">
        <f t="shared" si="20"/>
        <v>0.35396680584493923</v>
      </c>
      <c r="G68" s="1">
        <f t="shared" si="20"/>
        <v>0.75699463491253061</v>
      </c>
      <c r="H68" s="1">
        <f t="shared" si="20"/>
        <v>1.2834497713815058</v>
      </c>
      <c r="I68" s="1">
        <f t="shared" si="20"/>
        <v>1.9158057069568444</v>
      </c>
      <c r="J68" s="1">
        <f t="shared" si="20"/>
        <v>2.6389031667894054</v>
      </c>
      <c r="K68" s="1">
        <f t="shared" si="20"/>
        <v>3.4398523520864845</v>
      </c>
      <c r="L68" s="1">
        <f t="shared" si="20"/>
        <v>4.3079572966140995</v>
      </c>
      <c r="M68" s="1">
        <f t="shared" si="20"/>
        <v>5.2346629946030863</v>
      </c>
      <c r="N68" s="1">
        <f t="shared" si="20"/>
        <v>6.21352621666722</v>
      </c>
      <c r="O68" s="1">
        <f t="shared" si="20"/>
        <v>7.2402112139849129</v>
      </c>
      <c r="P68" s="1">
        <f t="shared" si="20"/>
        <v>8.3125118230550239</v>
      </c>
      <c r="Q68" s="1">
        <f t="shared" si="20"/>
        <v>9.4304018281416742</v>
      </c>
      <c r="R68" s="1">
        <f t="shared" si="20"/>
        <v>10.596115820924901</v>
      </c>
      <c r="S68" s="1">
        <f t="shared" si="20"/>
        <v>11.814263222315182</v>
      </c>
      <c r="T68" s="1">
        <f t="shared" si="20"/>
        <v>13.091978605980414</v>
      </c>
      <c r="U68" s="1">
        <f t="shared" si="20"/>
        <v>14.439111993734965</v>
      </c>
      <c r="V68" s="1">
        <f t="shared" si="20"/>
        <v>15.868463387264359</v>
      </c>
      <c r="W68" s="1">
        <f t="shared" si="20"/>
        <v>17.396066467375057</v>
      </c>
      <c r="X68" s="1">
        <f t="shared" si="20"/>
        <v>19.04152714081653</v>
      </c>
      <c r="Y68" s="1">
        <f t="shared" si="20"/>
        <v>20.828423456688814</v>
      </c>
      <c r="Z68" s="1">
        <f t="shared" si="20"/>
        <v>22.784774361860219</v>
      </c>
      <c r="AA68" s="1">
        <f t="shared" si="20"/>
        <v>24.943585831557225</v>
      </c>
      <c r="AB68" s="1">
        <f t="shared" si="20"/>
        <v>27.343484112971119</v>
      </c>
    </row>
    <row r="69" spans="2:28" x14ac:dyDescent="0.3">
      <c r="B69" t="s">
        <v>107</v>
      </c>
      <c r="C69" s="1"/>
      <c r="D69" s="1"/>
      <c r="E69" s="1">
        <f>E68/E41</f>
        <v>4.9440897993041154E-2</v>
      </c>
      <c r="F69" s="1">
        <f t="shared" ref="F69:AB69" si="21">F68/F41</f>
        <v>0.10801813369046036</v>
      </c>
      <c r="G69" s="1">
        <f t="shared" si="21"/>
        <v>0.16032658782088391</v>
      </c>
      <c r="H69" s="1">
        <f t="shared" si="21"/>
        <v>0.20585584380982616</v>
      </c>
      <c r="I69" s="1">
        <f t="shared" si="21"/>
        <v>0.24534793154674936</v>
      </c>
      <c r="J69" s="1">
        <f t="shared" si="21"/>
        <v>0.27967170060061824</v>
      </c>
      <c r="K69" s="1">
        <f t="shared" si="21"/>
        <v>0.3096357551231313</v>
      </c>
      <c r="L69" s="1">
        <f t="shared" si="21"/>
        <v>0.33595827717595267</v>
      </c>
      <c r="M69" s="1">
        <f t="shared" si="21"/>
        <v>0.35927220624758072</v>
      </c>
      <c r="N69" s="1">
        <f t="shared" si="21"/>
        <v>0.38013848003440498</v>
      </c>
      <c r="O69" s="1">
        <f t="shared" si="21"/>
        <v>0.39906008635094264</v>
      </c>
      <c r="P69" s="1">
        <f t="shared" si="21"/>
        <v>0.41649498785385813</v>
      </c>
      <c r="Q69" s="1">
        <f t="shared" si="21"/>
        <v>0.43286756505163343</v>
      </c>
      <c r="R69" s="1">
        <f t="shared" si="21"/>
        <v>0.44857870841460556</v>
      </c>
      <c r="S69" s="1">
        <f t="shared" si="21"/>
        <v>0.46401482212574519</v>
      </c>
      <c r="T69" s="1">
        <f t="shared" si="21"/>
        <v>0.47955601694326011</v>
      </c>
      <c r="U69" s="1">
        <f t="shared" si="21"/>
        <v>0.49558374880325123</v>
      </c>
      <c r="V69" s="1">
        <f t="shared" si="21"/>
        <v>0.51248813179235231</v>
      </c>
      <c r="W69" s="1">
        <f t="shared" si="21"/>
        <v>0.53067512883992107</v>
      </c>
      <c r="X69" s="1">
        <f t="shared" si="21"/>
        <v>0.55057380388046062</v>
      </c>
      <c r="Y69" s="1">
        <f t="shared" si="21"/>
        <v>0.57264380576513096</v>
      </c>
      <c r="Z69" s="1">
        <f t="shared" si="21"/>
        <v>0.59738324646715124</v>
      </c>
      <c r="AA69" s="1">
        <f t="shared" si="21"/>
        <v>0.62533713355179366</v>
      </c>
      <c r="AB69" s="1">
        <f t="shared" si="21"/>
        <v>0.65710651894145378</v>
      </c>
    </row>
    <row r="71" spans="2:28" x14ac:dyDescent="0.3">
      <c r="C71">
        <v>60</v>
      </c>
    </row>
    <row r="72" spans="2:28" x14ac:dyDescent="0.3">
      <c r="C72">
        <v>10</v>
      </c>
    </row>
    <row r="73" spans="2:28" x14ac:dyDescent="0.3">
      <c r="C73">
        <f>C71*C72</f>
        <v>600</v>
      </c>
      <c r="D73" t="s">
        <v>104</v>
      </c>
    </row>
    <row r="75" spans="2:28" x14ac:dyDescent="0.3">
      <c r="D75">
        <f>365*24*0.2</f>
        <v>1752</v>
      </c>
    </row>
    <row r="76" spans="2:28" x14ac:dyDescent="0.3">
      <c r="D76">
        <f>C73/D75</f>
        <v>0.34246575342465752</v>
      </c>
    </row>
    <row r="77" spans="2:28" x14ac:dyDescent="0.3">
      <c r="D77">
        <f>D76*1.5</f>
        <v>0.51369863013698625</v>
      </c>
    </row>
    <row r="80" spans="2:28" x14ac:dyDescent="0.3">
      <c r="B80" t="s">
        <v>108</v>
      </c>
      <c r="C80">
        <f>C41/(NEW!C34+OLD!C25)/10</f>
        <v>0</v>
      </c>
      <c r="D80">
        <f>D41/(NEW!D34+OLD!D25)/10</f>
        <v>2.2157017570661578E-2</v>
      </c>
      <c r="E80">
        <f>E41/(NEW!E34+OLD!E25)/10</f>
        <v>5.5995271040585534E-2</v>
      </c>
      <c r="F80">
        <f>F41/(NEW!F34+OLD!F25)/10</f>
        <v>7.2830421396690839E-2</v>
      </c>
      <c r="G80">
        <f>G41/(NEW!G34+OLD!G25)/10</f>
        <v>7.2496711299503164E-2</v>
      </c>
      <c r="H80">
        <f>H41/(NEW!H34+OLD!H25)/10</f>
        <v>6.8717182172275307E-2</v>
      </c>
      <c r="I80">
        <f>I41/(NEW!I34+OLD!I25)/10</f>
        <v>6.1025122954098086E-2</v>
      </c>
      <c r="J80">
        <f>J41/(NEW!J34+OLD!J25)/10</f>
        <v>5.0852924810408484E-2</v>
      </c>
      <c r="K80">
        <f>K41/(NEW!K34+OLD!K25)/10</f>
        <v>4.243048804910883E-2</v>
      </c>
      <c r="L80">
        <f>L41/(NEW!L34+OLD!L25)/10</f>
        <v>3.5311310442302804E-2</v>
      </c>
      <c r="M80">
        <f>M41/(NEW!M34+OLD!M25)/10</f>
        <v>2.9112466974333378E-2</v>
      </c>
      <c r="N80">
        <f>N41/(NEW!N34+OLD!N25)/10</f>
        <v>2.4250575187120683E-2</v>
      </c>
      <c r="O80">
        <f>O41/(NEW!O34+OLD!O25)/10</f>
        <v>2.0482592620291382E-2</v>
      </c>
      <c r="P80">
        <f>P41/(NEW!P34+OLD!P25)/10</f>
        <v>1.7488048278743517E-2</v>
      </c>
      <c r="Q80">
        <f>Q41/(NEW!Q34+OLD!Q25)/10</f>
        <v>1.5153017690262663E-2</v>
      </c>
      <c r="R80">
        <f>R41/(NEW!R34+OLD!R25)/10</f>
        <v>1.3334923781288519E-2</v>
      </c>
      <c r="S80">
        <f>S41/(NEW!S34+OLD!S25)/10</f>
        <v>1.1887407888780416E-2</v>
      </c>
      <c r="T80">
        <f>T41/(NEW!T34+OLD!T25)/10</f>
        <v>1.0721676319183073E-2</v>
      </c>
      <c r="U80">
        <f>U41/(NEW!U34+OLD!U25)/10</f>
        <v>9.769412045361598E-3</v>
      </c>
      <c r="V80">
        <f>V41/(NEW!V34+OLD!V25)/10</f>
        <v>8.9722855400520187E-3</v>
      </c>
      <c r="W80">
        <f>W41/(NEW!W34+OLD!W25)/10</f>
        <v>8.2906806239801834E-3</v>
      </c>
      <c r="X80">
        <f>X41/(NEW!X34+OLD!X25)/10</f>
        <v>7.6965064104414739E-3</v>
      </c>
      <c r="Y80">
        <f>Y41/(NEW!Y34+OLD!Y25)/10</f>
        <v>7.1687734311658702E-3</v>
      </c>
      <c r="Z80">
        <f>Z41/(NEW!Z34+OLD!Z25)/10</f>
        <v>6.6923514911602184E-3</v>
      </c>
      <c r="AA80">
        <f>AA41/(NEW!AA34+OLD!AA25)/10</f>
        <v>6.256333277450836E-3</v>
      </c>
      <c r="AB80">
        <f>AB41/(NEW!AB34+OLD!AB25)/10</f>
        <v>5.8538779349664267E-3</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1E67C-E56B-7F4D-B4C4-BFD90101975E}">
  <dimension ref="B4:D16"/>
  <sheetViews>
    <sheetView zoomScaleNormal="100" workbookViewId="0">
      <selection activeCell="B1" sqref="B1"/>
    </sheetView>
  </sheetViews>
  <sheetFormatPr baseColWidth="10" defaultColWidth="11" defaultRowHeight="15.6" x14ac:dyDescent="0.3"/>
  <cols>
    <col min="2" max="2" width="22" customWidth="1"/>
  </cols>
  <sheetData>
    <row r="4" spans="2:4" x14ac:dyDescent="0.3">
      <c r="B4" t="s">
        <v>51</v>
      </c>
      <c r="C4" s="14">
        <v>1.5</v>
      </c>
      <c r="D4" t="s">
        <v>164</v>
      </c>
    </row>
    <row r="5" spans="2:4" x14ac:dyDescent="0.3">
      <c r="B5" t="s">
        <v>54</v>
      </c>
      <c r="C5" s="14">
        <v>7.0000000000000007E-2</v>
      </c>
    </row>
    <row r="6" spans="2:4" x14ac:dyDescent="0.3">
      <c r="B6" t="s">
        <v>56</v>
      </c>
      <c r="C6" s="14">
        <v>0.2</v>
      </c>
    </row>
    <row r="7" spans="2:4" x14ac:dyDescent="0.3">
      <c r="B7" t="s">
        <v>165</v>
      </c>
      <c r="C7" s="14">
        <v>6.9</v>
      </c>
      <c r="D7" t="s">
        <v>102</v>
      </c>
    </row>
    <row r="8" spans="2:4" x14ac:dyDescent="0.3">
      <c r="B8" t="s">
        <v>167</v>
      </c>
      <c r="C8">
        <v>60</v>
      </c>
      <c r="D8" t="s">
        <v>103</v>
      </c>
    </row>
    <row r="9" spans="2:4" x14ac:dyDescent="0.3">
      <c r="B9" t="s">
        <v>57</v>
      </c>
      <c r="C9">
        <v>3.4246575342465752E-2</v>
      </c>
      <c r="D9" t="s">
        <v>38</v>
      </c>
    </row>
    <row r="10" spans="2:4" x14ac:dyDescent="0.3">
      <c r="B10" t="s">
        <v>58</v>
      </c>
      <c r="C10">
        <v>0</v>
      </c>
    </row>
    <row r="11" spans="2:4" x14ac:dyDescent="0.3">
      <c r="B11" t="s">
        <v>59</v>
      </c>
      <c r="C11">
        <v>10</v>
      </c>
    </row>
    <row r="12" spans="2:4" x14ac:dyDescent="0.3">
      <c r="B12" t="s">
        <v>60</v>
      </c>
      <c r="C12">
        <v>0.4</v>
      </c>
      <c r="D12" t="s">
        <v>61</v>
      </c>
    </row>
    <row r="13" spans="2:4" x14ac:dyDescent="0.3">
      <c r="B13" t="s">
        <v>67</v>
      </c>
      <c r="C13">
        <v>6000</v>
      </c>
      <c r="D13" t="s">
        <v>65</v>
      </c>
    </row>
    <row r="14" spans="2:4" x14ac:dyDescent="0.3">
      <c r="B14" t="s">
        <v>66</v>
      </c>
      <c r="C14">
        <v>12000</v>
      </c>
      <c r="D14" t="s">
        <v>65</v>
      </c>
    </row>
    <row r="15" spans="2:4" x14ac:dyDescent="0.3">
      <c r="B15" t="s">
        <v>157</v>
      </c>
      <c r="C15">
        <v>12</v>
      </c>
      <c r="D15" t="s">
        <v>87</v>
      </c>
    </row>
    <row r="16" spans="2:4" x14ac:dyDescent="0.3">
      <c r="B16" t="s">
        <v>86</v>
      </c>
      <c r="C16">
        <v>250</v>
      </c>
      <c r="D16" t="s">
        <v>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252CA-3C35-7E4B-9B76-7574E922ADDC}">
  <dimension ref="B3:AB10"/>
  <sheetViews>
    <sheetView zoomScale="70" zoomScaleNormal="70" workbookViewId="0">
      <selection activeCell="AB4" sqref="AB4"/>
    </sheetView>
  </sheetViews>
  <sheetFormatPr baseColWidth="10" defaultColWidth="11" defaultRowHeight="15.6" x14ac:dyDescent="0.3"/>
  <cols>
    <col min="2" max="2" width="14.5" customWidth="1"/>
    <col min="3" max="3" width="12.19921875" bestFit="1" customWidth="1"/>
  </cols>
  <sheetData>
    <row r="3" spans="2:28" x14ac:dyDescent="0.3">
      <c r="AB3" t="s">
        <v>168</v>
      </c>
    </row>
    <row r="5" spans="2:28" x14ac:dyDescent="0.3">
      <c r="C5">
        <v>2025</v>
      </c>
      <c r="D5">
        <f>C5+1</f>
        <v>2026</v>
      </c>
      <c r="E5">
        <f t="shared" ref="E5:AB5" si="0">D5+1</f>
        <v>2027</v>
      </c>
      <c r="F5">
        <f t="shared" si="0"/>
        <v>2028</v>
      </c>
      <c r="G5">
        <f t="shared" si="0"/>
        <v>2029</v>
      </c>
      <c r="H5">
        <f t="shared" si="0"/>
        <v>2030</v>
      </c>
      <c r="I5">
        <f t="shared" si="0"/>
        <v>2031</v>
      </c>
      <c r="J5">
        <f t="shared" si="0"/>
        <v>2032</v>
      </c>
      <c r="K5">
        <f t="shared" si="0"/>
        <v>2033</v>
      </c>
      <c r="L5">
        <f t="shared" si="0"/>
        <v>2034</v>
      </c>
      <c r="M5">
        <f t="shared" si="0"/>
        <v>2035</v>
      </c>
      <c r="N5">
        <f t="shared" si="0"/>
        <v>2036</v>
      </c>
      <c r="O5">
        <f t="shared" si="0"/>
        <v>2037</v>
      </c>
      <c r="P5">
        <f t="shared" si="0"/>
        <v>2038</v>
      </c>
      <c r="Q5">
        <f t="shared" si="0"/>
        <v>2039</v>
      </c>
      <c r="R5">
        <f t="shared" si="0"/>
        <v>2040</v>
      </c>
      <c r="S5">
        <f t="shared" si="0"/>
        <v>2041</v>
      </c>
      <c r="T5">
        <f t="shared" si="0"/>
        <v>2042</v>
      </c>
      <c r="U5">
        <f t="shared" si="0"/>
        <v>2043</v>
      </c>
      <c r="V5">
        <f t="shared" si="0"/>
        <v>2044</v>
      </c>
      <c r="W5">
        <f t="shared" si="0"/>
        <v>2045</v>
      </c>
      <c r="X5">
        <f t="shared" si="0"/>
        <v>2046</v>
      </c>
      <c r="Y5">
        <f t="shared" si="0"/>
        <v>2047</v>
      </c>
      <c r="Z5">
        <f t="shared" si="0"/>
        <v>2048</v>
      </c>
      <c r="AA5">
        <f t="shared" si="0"/>
        <v>2049</v>
      </c>
      <c r="AB5">
        <f t="shared" si="0"/>
        <v>2050</v>
      </c>
    </row>
    <row r="6" spans="2:28" x14ac:dyDescent="0.3">
      <c r="B6" t="s">
        <v>36</v>
      </c>
      <c r="C6" s="1">
        <f>'MAIN MODEL'!C12</f>
        <v>33.19695309980451</v>
      </c>
      <c r="D6" s="1">
        <f>'MAIN MODEL'!D12</f>
        <v>34.985875340499724</v>
      </c>
      <c r="E6" s="1">
        <f>'MAIN MODEL'!E12</f>
        <v>36.999451274552904</v>
      </c>
      <c r="F6" s="1">
        <f>'MAIN MODEL'!F12</f>
        <v>39.28529597941214</v>
      </c>
      <c r="G6" s="1">
        <f>'MAIN MODEL'!G12</f>
        <v>41.986617791215302</v>
      </c>
      <c r="H6" s="1">
        <f>'MAIN MODEL'!H12</f>
        <v>44.971883739669387</v>
      </c>
      <c r="I6" s="1">
        <f>'MAIN MODEL'!I12</f>
        <v>48.460630898581904</v>
      </c>
      <c r="J6" s="1">
        <f>'MAIN MODEL'!J12</f>
        <v>52.758703496044632</v>
      </c>
      <c r="K6" s="1">
        <f>'MAIN MODEL'!K12</f>
        <v>57.813861979973183</v>
      </c>
      <c r="L6" s="1">
        <f>'MAIN MODEL'!L12</f>
        <v>63.849557070234283</v>
      </c>
      <c r="M6" s="1">
        <f>'MAIN MODEL'!M12</f>
        <v>71.225515302673713</v>
      </c>
      <c r="N6" s="1">
        <f>'MAIN MODEL'!N12</f>
        <v>79.943741523740471</v>
      </c>
      <c r="O6" s="1">
        <f>'MAIN MODEL'!O12</f>
        <v>90.062177875922885</v>
      </c>
      <c r="P6" s="1">
        <f>'MAIN MODEL'!P12</f>
        <v>101.72351872916445</v>
      </c>
      <c r="Q6" s="1">
        <f>'MAIN MODEL'!Q12</f>
        <v>114.80350151039057</v>
      </c>
      <c r="R6" s="1">
        <f>'MAIN MODEL'!R12</f>
        <v>129.14219190404839</v>
      </c>
      <c r="S6" s="1">
        <f>'MAIN MODEL'!S12</f>
        <v>144.67058553755504</v>
      </c>
      <c r="T6" s="1">
        <f>'MAIN MODEL'!T12</f>
        <v>161.25355215817345</v>
      </c>
      <c r="U6" s="1">
        <f>'MAIN MODEL'!U12</f>
        <v>178.78656600810734</v>
      </c>
      <c r="V6" s="1">
        <f>'MAIN MODEL'!V12</f>
        <v>197.26464007223825</v>
      </c>
      <c r="W6" s="1">
        <f>'MAIN MODEL'!W12</f>
        <v>216.7052528850659</v>
      </c>
      <c r="X6" s="1">
        <f>'MAIN MODEL'!X12</f>
        <v>237.16046077546474</v>
      </c>
      <c r="Y6" s="1">
        <f>'MAIN MODEL'!Y12</f>
        <v>258.70892218530321</v>
      </c>
      <c r="Z6" s="1">
        <f>'MAIN MODEL'!Z12</f>
        <v>281.46178522339187</v>
      </c>
      <c r="AA6" s="1">
        <f>'MAIN MODEL'!AA12</f>
        <v>305.56061947020117</v>
      </c>
      <c r="AB6" s="1">
        <f>'MAIN MODEL'!AB12</f>
        <v>331.11018446915836</v>
      </c>
    </row>
    <row r="7" spans="2:28" x14ac:dyDescent="0.3">
      <c r="B7" t="s">
        <v>37</v>
      </c>
      <c r="C7" s="1">
        <f>C6/LABOR!AI4*1000000</f>
        <v>1.1010312833954288</v>
      </c>
      <c r="D7" s="1">
        <f>D6/LABOR!AJ4*1000000</f>
        <v>1.1316985786952447</v>
      </c>
      <c r="E7" s="1">
        <f>E6/LABOR!AK4*1000000</f>
        <v>1.1676775519356879</v>
      </c>
      <c r="F7" s="1">
        <f>F6/LABOR!AL4*1000000</f>
        <v>1.210027309401025</v>
      </c>
      <c r="G7" s="1">
        <f>G6/LABOR!AM4*1000000</f>
        <v>1.2625504524473079</v>
      </c>
      <c r="H7" s="1">
        <f>H6/LABOR!AN4*1000000</f>
        <v>1.3207173858558821</v>
      </c>
      <c r="I7" s="1">
        <f>I6/LABOR!AO4*1000000</f>
        <v>1.3904400286170382</v>
      </c>
      <c r="J7" s="1">
        <f>J6/LABOR!AP4*1000000</f>
        <v>1.4794260228864258</v>
      </c>
      <c r="K7" s="1">
        <f>K6/LABOR!AQ4*1000000</f>
        <v>1.5847868319007432</v>
      </c>
      <c r="L7" s="1">
        <f>L6/LABOR!AR4*1000000</f>
        <v>1.7113841465502393</v>
      </c>
      <c r="M7" s="1">
        <f>M6/LABOR!AS4*1000000</f>
        <v>1.8673389432186962</v>
      </c>
      <c r="N7" s="1">
        <f>N6/LABOR!AT4*1000000</f>
        <v>2.050685249879475</v>
      </c>
      <c r="O7" s="1">
        <f>O6/LABOR!AU4*1000000</f>
        <v>2.2609561809854637</v>
      </c>
      <c r="P7" s="1">
        <f>P6/LABOR!AV4*1000000</f>
        <v>2.4999194221454886</v>
      </c>
      <c r="Q7" s="1">
        <f>Q6/LABOR!AW4*1000000</f>
        <v>2.762744152724232</v>
      </c>
      <c r="R7" s="1">
        <f>R6/LABOR!AX4*1000000</f>
        <v>3.0440811224197057</v>
      </c>
      <c r="S7" s="1">
        <f>S6/LABOR!AY4*1000000</f>
        <v>3.3412527856760734</v>
      </c>
      <c r="T7" s="1">
        <f>T6/LABOR!AZ4*1000000</f>
        <v>3.6503542510551146</v>
      </c>
      <c r="U7" s="1">
        <f>U6/LABOR!BA4*1000000</f>
        <v>3.9682001215165572</v>
      </c>
      <c r="V7" s="1">
        <f>V6/LABOR!BB4*1000000</f>
        <v>4.29409613268637</v>
      </c>
      <c r="W7" s="1">
        <f>W6/LABOR!BC4*1000000</f>
        <v>4.6279559152730414</v>
      </c>
      <c r="X7" s="1">
        <f>X6/LABOR!BD4*1000000</f>
        <v>4.9702472260519572</v>
      </c>
      <c r="Y7" s="1">
        <f>Y6/LABOR!BE4*1000000</f>
        <v>5.3224674977625259</v>
      </c>
      <c r="Z7" s="1">
        <f>Z6/LABOR!BF4*1000000</f>
        <v>5.6863883426948281</v>
      </c>
      <c r="AA7" s="1">
        <f>AA6/LABOR!BG4*1000000</f>
        <v>6.0638920798915406</v>
      </c>
      <c r="AB7" s="22">
        <f>AB6/LABOR!BH4*1000000</f>
        <v>6.4569622763759744</v>
      </c>
    </row>
    <row r="10" spans="2:28" x14ac:dyDescent="0.3">
      <c r="D10">
        <f>LN(D7/C7)</f>
        <v>2.7472400129852127E-2</v>
      </c>
      <c r="E10">
        <f t="shared" ref="E10:AB10" si="1">LN(E7/D7)</f>
        <v>3.1297106657324381E-2</v>
      </c>
      <c r="F10">
        <f t="shared" si="1"/>
        <v>3.5626151362983548E-2</v>
      </c>
      <c r="G10">
        <f t="shared" si="1"/>
        <v>4.2490914596536526E-2</v>
      </c>
      <c r="H10">
        <f t="shared" si="1"/>
        <v>4.5041219399536238E-2</v>
      </c>
      <c r="I10">
        <f t="shared" si="1"/>
        <v>5.1445201293173794E-2</v>
      </c>
      <c r="J10">
        <f t="shared" si="1"/>
        <v>6.2033925783324541E-2</v>
      </c>
      <c r="K10">
        <f t="shared" si="1"/>
        <v>6.8795717190731548E-2</v>
      </c>
      <c r="L10">
        <f t="shared" si="1"/>
        <v>7.6852578149589429E-2</v>
      </c>
      <c r="M10">
        <f t="shared" si="1"/>
        <v>8.7211906868325889E-2</v>
      </c>
      <c r="N10">
        <f t="shared" si="1"/>
        <v>9.3659613140939915E-2</v>
      </c>
      <c r="O10">
        <f t="shared" si="1"/>
        <v>9.7613807209902745E-2</v>
      </c>
      <c r="P10">
        <f t="shared" si="1"/>
        <v>0.10047068747398558</v>
      </c>
      <c r="Q10">
        <f t="shared" si="1"/>
        <v>9.9965943802223012E-2</v>
      </c>
      <c r="R10">
        <f t="shared" si="1"/>
        <v>9.6974645569967682E-2</v>
      </c>
      <c r="S10">
        <f t="shared" si="1"/>
        <v>9.3146732608268112E-2</v>
      </c>
      <c r="T10">
        <f t="shared" si="1"/>
        <v>8.8478395775078544E-2</v>
      </c>
      <c r="U10">
        <f t="shared" si="1"/>
        <v>8.3488404032368138E-2</v>
      </c>
      <c r="V10">
        <f t="shared" si="1"/>
        <v>7.8928464882477803E-2</v>
      </c>
      <c r="W10">
        <f t="shared" si="1"/>
        <v>7.4874196748708349E-2</v>
      </c>
      <c r="X10">
        <f t="shared" si="1"/>
        <v>7.1354298911780328E-2</v>
      </c>
      <c r="Y10">
        <f t="shared" si="1"/>
        <v>6.8467428649560624E-2</v>
      </c>
      <c r="Z10">
        <f t="shared" si="1"/>
        <v>6.613829775018143E-2</v>
      </c>
      <c r="AA10">
        <f t="shared" si="1"/>
        <v>6.4276542386515936E-2</v>
      </c>
      <c r="AB10">
        <f t="shared" si="1"/>
        <v>6.2807120013800691E-2</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60A70-9B95-2941-90DE-94C289E6921B}">
  <dimension ref="A3:BH42"/>
  <sheetViews>
    <sheetView zoomScale="55" zoomScaleNormal="55" workbookViewId="0">
      <selection activeCell="D4" sqref="D4"/>
    </sheetView>
  </sheetViews>
  <sheetFormatPr baseColWidth="10" defaultColWidth="11" defaultRowHeight="15.6" x14ac:dyDescent="0.3"/>
  <cols>
    <col min="5" max="5" width="10.796875" style="4"/>
    <col min="33" max="33" width="10.796875" style="4"/>
    <col min="35" max="35" width="10.796875" style="4"/>
  </cols>
  <sheetData>
    <row r="3" spans="1:60" x14ac:dyDescent="0.3">
      <c r="A3" t="s">
        <v>11</v>
      </c>
      <c r="B3" s="3" t="s">
        <v>12</v>
      </c>
      <c r="C3" t="s">
        <v>13</v>
      </c>
      <c r="D3">
        <v>1994</v>
      </c>
      <c r="E3" s="4">
        <v>1995</v>
      </c>
      <c r="F3">
        <f>E3+1</f>
        <v>1996</v>
      </c>
      <c r="G3">
        <f t="shared" ref="G3:BH3" si="0">F3+1</f>
        <v>1997</v>
      </c>
      <c r="H3">
        <f t="shared" si="0"/>
        <v>1998</v>
      </c>
      <c r="I3">
        <f t="shared" si="0"/>
        <v>1999</v>
      </c>
      <c r="J3">
        <f t="shared" si="0"/>
        <v>2000</v>
      </c>
      <c r="K3">
        <f t="shared" si="0"/>
        <v>2001</v>
      </c>
      <c r="L3">
        <f t="shared" si="0"/>
        <v>2002</v>
      </c>
      <c r="M3">
        <f t="shared" si="0"/>
        <v>2003</v>
      </c>
      <c r="N3">
        <f t="shared" si="0"/>
        <v>2004</v>
      </c>
      <c r="O3">
        <f t="shared" si="0"/>
        <v>2005</v>
      </c>
      <c r="P3">
        <f t="shared" si="0"/>
        <v>2006</v>
      </c>
      <c r="Q3">
        <f t="shared" si="0"/>
        <v>2007</v>
      </c>
      <c r="R3">
        <f t="shared" si="0"/>
        <v>2008</v>
      </c>
      <c r="S3">
        <f t="shared" si="0"/>
        <v>2009</v>
      </c>
      <c r="T3">
        <f t="shared" si="0"/>
        <v>2010</v>
      </c>
      <c r="U3">
        <f t="shared" si="0"/>
        <v>2011</v>
      </c>
      <c r="V3">
        <f t="shared" si="0"/>
        <v>2012</v>
      </c>
      <c r="W3">
        <f t="shared" si="0"/>
        <v>2013</v>
      </c>
      <c r="X3">
        <f t="shared" si="0"/>
        <v>2014</v>
      </c>
      <c r="Y3">
        <f t="shared" si="0"/>
        <v>2015</v>
      </c>
      <c r="Z3">
        <f t="shared" si="0"/>
        <v>2016</v>
      </c>
      <c r="AA3">
        <f t="shared" si="0"/>
        <v>2017</v>
      </c>
      <c r="AB3">
        <f t="shared" si="0"/>
        <v>2018</v>
      </c>
      <c r="AC3">
        <f t="shared" si="0"/>
        <v>2019</v>
      </c>
      <c r="AD3">
        <f t="shared" si="0"/>
        <v>2020</v>
      </c>
      <c r="AE3">
        <f t="shared" si="0"/>
        <v>2021</v>
      </c>
      <c r="AF3">
        <f t="shared" si="0"/>
        <v>2022</v>
      </c>
      <c r="AG3" s="4">
        <f>AF3+1</f>
        <v>2023</v>
      </c>
      <c r="AH3">
        <f t="shared" si="0"/>
        <v>2024</v>
      </c>
      <c r="AI3" s="4">
        <f t="shared" si="0"/>
        <v>2025</v>
      </c>
      <c r="AJ3">
        <f t="shared" si="0"/>
        <v>2026</v>
      </c>
      <c r="AK3">
        <f t="shared" si="0"/>
        <v>2027</v>
      </c>
      <c r="AL3">
        <f t="shared" si="0"/>
        <v>2028</v>
      </c>
      <c r="AM3">
        <f t="shared" si="0"/>
        <v>2029</v>
      </c>
      <c r="AN3">
        <f t="shared" si="0"/>
        <v>2030</v>
      </c>
      <c r="AO3">
        <f t="shared" si="0"/>
        <v>2031</v>
      </c>
      <c r="AP3">
        <f t="shared" si="0"/>
        <v>2032</v>
      </c>
      <c r="AQ3">
        <f t="shared" si="0"/>
        <v>2033</v>
      </c>
      <c r="AR3">
        <f t="shared" si="0"/>
        <v>2034</v>
      </c>
      <c r="AS3">
        <f t="shared" si="0"/>
        <v>2035</v>
      </c>
      <c r="AT3">
        <f t="shared" si="0"/>
        <v>2036</v>
      </c>
      <c r="AU3">
        <f t="shared" si="0"/>
        <v>2037</v>
      </c>
      <c r="AV3">
        <f t="shared" si="0"/>
        <v>2038</v>
      </c>
      <c r="AW3">
        <f t="shared" si="0"/>
        <v>2039</v>
      </c>
      <c r="AX3">
        <f t="shared" si="0"/>
        <v>2040</v>
      </c>
      <c r="AY3">
        <f t="shared" si="0"/>
        <v>2041</v>
      </c>
      <c r="AZ3">
        <f t="shared" si="0"/>
        <v>2042</v>
      </c>
      <c r="BA3">
        <f t="shared" si="0"/>
        <v>2043</v>
      </c>
      <c r="BB3">
        <f t="shared" si="0"/>
        <v>2044</v>
      </c>
      <c r="BC3">
        <f t="shared" si="0"/>
        <v>2045</v>
      </c>
      <c r="BD3">
        <f t="shared" si="0"/>
        <v>2046</v>
      </c>
      <c r="BE3">
        <f t="shared" si="0"/>
        <v>2047</v>
      </c>
      <c r="BF3">
        <f t="shared" si="0"/>
        <v>2048</v>
      </c>
      <c r="BG3">
        <f t="shared" si="0"/>
        <v>2049</v>
      </c>
      <c r="BH3">
        <f t="shared" si="0"/>
        <v>2050</v>
      </c>
    </row>
    <row r="4" spans="1:60" x14ac:dyDescent="0.3">
      <c r="A4" t="s">
        <v>14</v>
      </c>
      <c r="B4" s="3" t="s">
        <v>15</v>
      </c>
      <c r="C4" t="s">
        <v>16</v>
      </c>
      <c r="D4">
        <v>12848862</v>
      </c>
      <c r="E4" s="4">
        <v>13211647</v>
      </c>
      <c r="F4">
        <v>13575324</v>
      </c>
      <c r="G4">
        <v>13941181</v>
      </c>
      <c r="H4">
        <v>14314599</v>
      </c>
      <c r="I4">
        <v>14698973</v>
      </c>
      <c r="J4">
        <v>15091594</v>
      </c>
      <c r="K4">
        <v>15493253</v>
      </c>
      <c r="L4">
        <v>15914033</v>
      </c>
      <c r="M4">
        <v>16354326</v>
      </c>
      <c r="N4">
        <v>16809407</v>
      </c>
      <c r="O4">
        <v>17275171</v>
      </c>
      <c r="P4">
        <v>17751333</v>
      </c>
      <c r="Q4">
        <v>18251866</v>
      </c>
      <c r="R4">
        <v>18777081</v>
      </c>
      <c r="S4">
        <v>19319274</v>
      </c>
      <c r="T4">
        <v>19878036</v>
      </c>
      <c r="U4">
        <v>20448873</v>
      </c>
      <c r="V4">
        <v>21032684</v>
      </c>
      <c r="W4">
        <v>21632850</v>
      </c>
      <c r="X4">
        <v>22299585</v>
      </c>
      <c r="Y4">
        <v>23012646</v>
      </c>
      <c r="Z4">
        <v>23711630</v>
      </c>
      <c r="AA4">
        <v>24393181</v>
      </c>
      <c r="AB4">
        <v>25076747</v>
      </c>
      <c r="AC4">
        <v>25782341</v>
      </c>
      <c r="AD4">
        <v>26491087</v>
      </c>
      <c r="AE4">
        <v>27198628</v>
      </c>
      <c r="AF4">
        <v>27914536</v>
      </c>
      <c r="AG4" s="4">
        <v>28647293</v>
      </c>
      <c r="AH4">
        <v>29394433</v>
      </c>
      <c r="AI4" s="4">
        <v>30150781</v>
      </c>
      <c r="AJ4">
        <v>30914482</v>
      </c>
      <c r="AK4">
        <v>31686360</v>
      </c>
      <c r="AL4">
        <v>32466454</v>
      </c>
      <c r="AM4">
        <v>33255398</v>
      </c>
      <c r="AN4">
        <v>34051103</v>
      </c>
      <c r="AO4">
        <v>34852730</v>
      </c>
      <c r="AP4">
        <v>35661603</v>
      </c>
      <c r="AQ4">
        <v>36480529</v>
      </c>
      <c r="AR4">
        <v>37308723</v>
      </c>
      <c r="AS4">
        <v>38142789</v>
      </c>
      <c r="AT4">
        <v>38983916</v>
      </c>
      <c r="AU4">
        <v>39833668</v>
      </c>
      <c r="AV4">
        <v>40690719</v>
      </c>
      <c r="AW4">
        <v>41554156</v>
      </c>
      <c r="AX4">
        <v>42424031</v>
      </c>
      <c r="AY4">
        <v>43298306</v>
      </c>
      <c r="AZ4">
        <v>44174768</v>
      </c>
      <c r="BA4">
        <v>45054826</v>
      </c>
      <c r="BB4">
        <v>45938571</v>
      </c>
      <c r="BC4">
        <v>46825263</v>
      </c>
      <c r="BD4">
        <v>47716029</v>
      </c>
      <c r="BE4">
        <v>48606952</v>
      </c>
      <c r="BF4">
        <v>49497461</v>
      </c>
      <c r="BG4">
        <v>50390181</v>
      </c>
      <c r="BH4">
        <v>51279560</v>
      </c>
    </row>
    <row r="5" spans="1:60" x14ac:dyDescent="0.3">
      <c r="A5" t="s">
        <v>14</v>
      </c>
      <c r="B5" s="3" t="s">
        <v>15</v>
      </c>
      <c r="C5" t="s">
        <v>17</v>
      </c>
      <c r="D5">
        <v>5679377</v>
      </c>
      <c r="E5">
        <v>5848303</v>
      </c>
      <c r="F5">
        <v>6025841</v>
      </c>
      <c r="G5">
        <v>6210102</v>
      </c>
      <c r="H5">
        <v>6398073</v>
      </c>
      <c r="I5">
        <v>6587130</v>
      </c>
      <c r="J5">
        <v>6779400</v>
      </c>
      <c r="K5">
        <v>6982382</v>
      </c>
      <c r="L5">
        <v>7197125</v>
      </c>
      <c r="M5">
        <v>7418531</v>
      </c>
      <c r="N5">
        <v>7642255</v>
      </c>
      <c r="O5">
        <v>7867487</v>
      </c>
      <c r="P5">
        <v>8098945</v>
      </c>
      <c r="Q5">
        <v>8341459</v>
      </c>
      <c r="R5">
        <v>8418157</v>
      </c>
      <c r="S5">
        <v>8476630</v>
      </c>
      <c r="T5">
        <v>8515123</v>
      </c>
      <c r="U5">
        <v>8654090</v>
      </c>
      <c r="V5">
        <v>8788788</v>
      </c>
      <c r="W5">
        <v>8923111</v>
      </c>
      <c r="X5">
        <v>9090658</v>
      </c>
      <c r="Y5">
        <v>9409632</v>
      </c>
      <c r="Z5">
        <v>9710777</v>
      </c>
      <c r="AA5">
        <v>9995553</v>
      </c>
      <c r="AB5">
        <v>10284558</v>
      </c>
      <c r="AC5">
        <v>10593291</v>
      </c>
      <c r="AD5">
        <v>10815307</v>
      </c>
      <c r="AE5">
        <v>11098782</v>
      </c>
      <c r="AF5">
        <v>11592475</v>
      </c>
      <c r="AG5">
        <v>11965019</v>
      </c>
      <c r="AH5">
        <f>AH4*AH6</f>
        <v>12403485.970621251</v>
      </c>
      <c r="AI5" s="6">
        <f>AI4*AI6*0.944</f>
        <v>12133835.496665571</v>
      </c>
      <c r="AJ5" s="6">
        <f t="shared" ref="AJ5:BH5" si="1">AJ4*AJ6*0.944</f>
        <v>12569279.401418112</v>
      </c>
      <c r="AK5" s="6">
        <f t="shared" si="1"/>
        <v>13015762.884583034</v>
      </c>
      <c r="AL5" s="6">
        <f t="shared" si="1"/>
        <v>13473517.889542356</v>
      </c>
      <c r="AM5" s="6">
        <f t="shared" si="1"/>
        <v>13943030.121461902</v>
      </c>
      <c r="AN5" s="6">
        <f t="shared" si="1"/>
        <v>14423646.497433191</v>
      </c>
      <c r="AO5" s="6">
        <f t="shared" si="1"/>
        <v>14915216.347271672</v>
      </c>
      <c r="AP5" s="6">
        <f t="shared" si="1"/>
        <v>15418512.816772569</v>
      </c>
      <c r="AQ5" s="6">
        <f t="shared" si="1"/>
        <v>15934983.655044934</v>
      </c>
      <c r="AR5" s="6">
        <f t="shared" si="1"/>
        <v>16464545.593897881</v>
      </c>
      <c r="AS5" s="6">
        <f t="shared" si="1"/>
        <v>17005941.472338025</v>
      </c>
      <c r="AT5" s="6">
        <f t="shared" si="1"/>
        <v>17559921.374271806</v>
      </c>
      <c r="AU5" s="6">
        <f t="shared" si="1"/>
        <v>18127431.536514591</v>
      </c>
      <c r="AV5" s="6">
        <f t="shared" si="1"/>
        <v>18708122.624265816</v>
      </c>
      <c r="AW5" s="6">
        <f t="shared" si="1"/>
        <v>19301816.373599809</v>
      </c>
      <c r="AX5" s="6">
        <f t="shared" si="1"/>
        <v>19908773.930441245</v>
      </c>
      <c r="AY5" s="6">
        <f t="shared" si="1"/>
        <v>20528270.361763608</v>
      </c>
      <c r="AZ5" s="6">
        <f t="shared" si="1"/>
        <v>21159460.998112205</v>
      </c>
      <c r="BA5" s="6">
        <f t="shared" si="1"/>
        <v>21803213.619425412</v>
      </c>
      <c r="BB5" s="6">
        <f t="shared" si="1"/>
        <v>22459782.406514496</v>
      </c>
      <c r="BC5" s="6">
        <f t="shared" si="1"/>
        <v>23129016.076723881</v>
      </c>
      <c r="BD5" s="6">
        <f t="shared" si="1"/>
        <v>23811683.224408705</v>
      </c>
      <c r="BE5" s="6">
        <f t="shared" si="1"/>
        <v>24506035.645099498</v>
      </c>
      <c r="BF5" s="6">
        <f t="shared" si="1"/>
        <v>25211951.570463032</v>
      </c>
      <c r="BG5" s="6">
        <f t="shared" si="1"/>
        <v>25930944.176297184</v>
      </c>
      <c r="BH5" s="6">
        <f t="shared" si="1"/>
        <v>26660333.132280596</v>
      </c>
    </row>
    <row r="6" spans="1:60" x14ac:dyDescent="0.3">
      <c r="D6" s="4" t="s">
        <v>18</v>
      </c>
      <c r="E6">
        <f>E5/E4</f>
        <v>0.44266267483531768</v>
      </c>
      <c r="F6">
        <f>F5/F4</f>
        <v>0.44388192871124105</v>
      </c>
      <c r="G6">
        <f t="shared" ref="G6:AG6" si="2">G5/G4</f>
        <v>0.44545020970605004</v>
      </c>
      <c r="H6">
        <f t="shared" si="2"/>
        <v>0.44696138536608676</v>
      </c>
      <c r="I6">
        <f t="shared" si="2"/>
        <v>0.44813539013916143</v>
      </c>
      <c r="J6">
        <f t="shared" si="2"/>
        <v>0.44921696144224393</v>
      </c>
      <c r="K6">
        <f t="shared" si="2"/>
        <v>0.45067243141256391</v>
      </c>
      <c r="L6">
        <f t="shared" si="2"/>
        <v>0.45225022469162907</v>
      </c>
      <c r="M6">
        <f t="shared" si="2"/>
        <v>0.45361276276380941</v>
      </c>
      <c r="N6">
        <f t="shared" si="2"/>
        <v>0.45464155874148326</v>
      </c>
      <c r="O6">
        <f t="shared" si="2"/>
        <v>0.45542165689705766</v>
      </c>
      <c r="P6">
        <f t="shared" si="2"/>
        <v>0.45624432824284239</v>
      </c>
      <c r="Q6">
        <f t="shared" si="2"/>
        <v>0.45701951789477308</v>
      </c>
      <c r="R6">
        <f t="shared" si="2"/>
        <v>0.44832085455668003</v>
      </c>
      <c r="S6">
        <f t="shared" si="2"/>
        <v>0.43876545257342486</v>
      </c>
      <c r="T6">
        <f t="shared" si="2"/>
        <v>0.42836842633749128</v>
      </c>
      <c r="U6">
        <f t="shared" si="2"/>
        <v>0.42320620799004427</v>
      </c>
      <c r="V6">
        <f t="shared" si="2"/>
        <v>0.4178633597119607</v>
      </c>
      <c r="W6">
        <f t="shared" si="2"/>
        <v>0.41247967789727197</v>
      </c>
      <c r="X6">
        <f t="shared" si="2"/>
        <v>0.40766041161752564</v>
      </c>
      <c r="Y6">
        <f t="shared" si="2"/>
        <v>0.40888961660471379</v>
      </c>
      <c r="Z6">
        <f t="shared" si="2"/>
        <v>0.40953645953483586</v>
      </c>
      <c r="AA6">
        <f t="shared" si="2"/>
        <v>0.40976832828813919</v>
      </c>
      <c r="AB6">
        <f t="shared" si="2"/>
        <v>0.41012329071230808</v>
      </c>
      <c r="AC6">
        <f t="shared" si="2"/>
        <v>0.41087390008533359</v>
      </c>
      <c r="AD6">
        <f t="shared" si="2"/>
        <v>0.40826210717589656</v>
      </c>
      <c r="AE6">
        <f t="shared" si="2"/>
        <v>0.40806403911256112</v>
      </c>
      <c r="AF6">
        <f t="shared" si="2"/>
        <v>0.41528453132805071</v>
      </c>
      <c r="AG6">
        <f t="shared" si="2"/>
        <v>0.41766665352988153</v>
      </c>
      <c r="AH6">
        <f>$AG6*EXP($AG12*(AH3-$AG3))</f>
        <v>0.42196717897641539</v>
      </c>
      <c r="AI6" s="5">
        <f>$AG6*EXP($AG12*(AI3-$AG3))</f>
        <v>0.42631198499684714</v>
      </c>
      <c r="AJ6" s="1">
        <f t="shared" ref="AJ6:BH6" si="3">$AG6*EXP($AG12*(AJ3-$AG3))</f>
        <v>0.43070152752830554</v>
      </c>
      <c r="AK6" s="1">
        <f t="shared" si="3"/>
        <v>0.43513626720249882</v>
      </c>
      <c r="AL6" s="1">
        <f t="shared" si="3"/>
        <v>0.43961666939405236</v>
      </c>
      <c r="AM6" s="1">
        <f t="shared" si="3"/>
        <v>0.44414320426934456</v>
      </c>
      <c r="AN6" s="1">
        <f t="shared" si="3"/>
        <v>0.44871634683584533</v>
      </c>
      <c r="AO6" s="1">
        <f t="shared" si="3"/>
        <v>0.45333657699196239</v>
      </c>
      <c r="AP6" s="1">
        <f t="shared" si="3"/>
        <v>0.45800437957740159</v>
      </c>
      <c r="AQ6" s="1">
        <f t="shared" si="3"/>
        <v>0.46272024442404464</v>
      </c>
      <c r="AR6" s="1">
        <f t="shared" si="3"/>
        <v>0.46748466640735148</v>
      </c>
      <c r="AS6" s="1">
        <f t="shared" si="3"/>
        <v>0.47229814549829208</v>
      </c>
      <c r="AT6" s="1">
        <f t="shared" si="3"/>
        <v>0.47716118681581221</v>
      </c>
      <c r="AU6" s="1">
        <f t="shared" si="3"/>
        <v>0.48207430067983986</v>
      </c>
      <c r="AV6" s="1">
        <f t="shared" si="3"/>
        <v>0.48703800266483771</v>
      </c>
      <c r="AW6" s="1">
        <f t="shared" si="3"/>
        <v>0.49205281365390641</v>
      </c>
      <c r="AX6" s="1">
        <f t="shared" si="3"/>
        <v>0.49711925989344519</v>
      </c>
      <c r="AY6" s="1">
        <f t="shared" si="3"/>
        <v>0.50223787304837564</v>
      </c>
      <c r="AZ6" s="1">
        <f t="shared" si="3"/>
        <v>0.50740919025793374</v>
      </c>
      <c r="BA6" s="1">
        <f t="shared" si="3"/>
        <v>0.51263375419203605</v>
      </c>
      <c r="BB6" s="1">
        <f t="shared" si="3"/>
        <v>0.51791211310822682</v>
      </c>
      <c r="BC6" s="1">
        <f t="shared" si="3"/>
        <v>0.52324482090921176</v>
      </c>
      <c r="BD6" s="1">
        <f t="shared" si="3"/>
        <v>0.52863243720098296</v>
      </c>
      <c r="BE6" s="1">
        <f t="shared" si="3"/>
        <v>0.53407552735154351</v>
      </c>
      <c r="BF6" s="1">
        <f t="shared" si="3"/>
        <v>0.53957466255023601</v>
      </c>
      <c r="BG6" s="1">
        <f t="shared" si="3"/>
        <v>0.54513041986768307</v>
      </c>
      <c r="BH6" s="1">
        <f t="shared" si="3"/>
        <v>0.55074338231634301</v>
      </c>
    </row>
    <row r="9" spans="1:60" x14ac:dyDescent="0.3">
      <c r="A9" t="s">
        <v>19</v>
      </c>
      <c r="B9" s="3" t="s">
        <v>20</v>
      </c>
      <c r="C9" t="s">
        <v>16</v>
      </c>
      <c r="D9">
        <v>1462514</v>
      </c>
      <c r="E9">
        <v>1436634</v>
      </c>
      <c r="F9">
        <v>1415594</v>
      </c>
      <c r="G9">
        <v>1399535</v>
      </c>
      <c r="H9">
        <v>1386156</v>
      </c>
      <c r="I9">
        <v>1390244</v>
      </c>
      <c r="J9">
        <v>1396985</v>
      </c>
      <c r="K9">
        <v>1388115</v>
      </c>
      <c r="L9">
        <v>1379350</v>
      </c>
      <c r="M9">
        <v>1370720</v>
      </c>
      <c r="N9">
        <v>1362550</v>
      </c>
      <c r="O9">
        <v>1354775</v>
      </c>
      <c r="P9">
        <v>1346810</v>
      </c>
      <c r="Q9">
        <v>1340680</v>
      </c>
      <c r="R9">
        <v>1337090</v>
      </c>
      <c r="S9">
        <v>1334515</v>
      </c>
      <c r="T9">
        <v>1331475</v>
      </c>
      <c r="U9">
        <v>1327439</v>
      </c>
      <c r="V9">
        <v>1322696</v>
      </c>
      <c r="W9">
        <v>1317997</v>
      </c>
      <c r="X9">
        <v>1314545</v>
      </c>
      <c r="Y9">
        <v>1315407</v>
      </c>
      <c r="Z9">
        <v>1315790</v>
      </c>
      <c r="AA9">
        <v>1317384</v>
      </c>
      <c r="AB9">
        <v>1321977</v>
      </c>
      <c r="AC9">
        <v>1326898</v>
      </c>
      <c r="AD9">
        <v>1329522</v>
      </c>
      <c r="AE9">
        <v>1330932</v>
      </c>
      <c r="AF9">
        <v>1348840</v>
      </c>
      <c r="AG9">
        <v>1366188</v>
      </c>
      <c r="AH9">
        <v>1361835</v>
      </c>
      <c r="AI9" s="4">
        <v>1357305</v>
      </c>
      <c r="AJ9">
        <v>1352581</v>
      </c>
      <c r="AK9">
        <v>1347643</v>
      </c>
      <c r="AL9">
        <v>1342458</v>
      </c>
      <c r="AM9">
        <v>1336990</v>
      </c>
      <c r="AN9">
        <v>1331271</v>
      </c>
      <c r="AO9">
        <v>1325341</v>
      </c>
      <c r="AP9">
        <v>1319274</v>
      </c>
      <c r="AQ9">
        <v>1313033</v>
      </c>
      <c r="AR9">
        <v>1306732</v>
      </c>
      <c r="AS9">
        <v>1300401</v>
      </c>
      <c r="AT9">
        <v>1294068</v>
      </c>
      <c r="AU9">
        <v>1287775</v>
      </c>
      <c r="AV9">
        <v>1281548</v>
      </c>
      <c r="AW9">
        <v>1275336</v>
      </c>
      <c r="AX9">
        <v>1269145</v>
      </c>
      <c r="AY9">
        <v>1262999</v>
      </c>
      <c r="AZ9">
        <v>1256847</v>
      </c>
      <c r="BA9">
        <v>1250720</v>
      </c>
      <c r="BB9">
        <v>1244596</v>
      </c>
      <c r="BC9">
        <v>1238502</v>
      </c>
      <c r="BD9">
        <v>1232417</v>
      </c>
      <c r="BE9">
        <v>1226357</v>
      </c>
      <c r="BF9">
        <v>1220252</v>
      </c>
      <c r="BG9">
        <v>1214091</v>
      </c>
      <c r="BH9">
        <v>1207679</v>
      </c>
    </row>
    <row r="10" spans="1:60" x14ac:dyDescent="0.3">
      <c r="A10" t="s">
        <v>19</v>
      </c>
      <c r="B10" s="3" t="s">
        <v>20</v>
      </c>
      <c r="C10" t="s">
        <v>17</v>
      </c>
      <c r="D10">
        <v>727888</v>
      </c>
      <c r="E10">
        <v>704564</v>
      </c>
      <c r="F10">
        <v>690971</v>
      </c>
      <c r="G10">
        <v>682829</v>
      </c>
      <c r="H10">
        <v>671518</v>
      </c>
      <c r="I10">
        <v>665985</v>
      </c>
      <c r="J10">
        <v>672569</v>
      </c>
      <c r="K10">
        <v>664742</v>
      </c>
      <c r="L10">
        <v>653818</v>
      </c>
      <c r="M10">
        <v>671446</v>
      </c>
      <c r="N10">
        <v>672400</v>
      </c>
      <c r="O10">
        <v>668522</v>
      </c>
      <c r="P10">
        <v>690703</v>
      </c>
      <c r="Q10">
        <v>688602</v>
      </c>
      <c r="R10">
        <v>694490</v>
      </c>
      <c r="S10">
        <v>687516</v>
      </c>
      <c r="T10">
        <v>681606</v>
      </c>
      <c r="U10">
        <v>687098</v>
      </c>
      <c r="V10">
        <v>683224</v>
      </c>
      <c r="W10">
        <v>679674</v>
      </c>
      <c r="X10">
        <v>674311</v>
      </c>
      <c r="Y10">
        <v>684580</v>
      </c>
      <c r="Z10">
        <v>691052</v>
      </c>
      <c r="AA10">
        <v>700098</v>
      </c>
      <c r="AB10">
        <v>703757</v>
      </c>
      <c r="AC10">
        <v>703307</v>
      </c>
      <c r="AD10">
        <v>703979</v>
      </c>
      <c r="AE10">
        <v>702984</v>
      </c>
      <c r="AF10">
        <v>734484</v>
      </c>
      <c r="AG10">
        <v>752419</v>
      </c>
    </row>
    <row r="11" spans="1:60" x14ac:dyDescent="0.3">
      <c r="D11" s="4" t="s">
        <v>18</v>
      </c>
      <c r="E11">
        <f>E10/E9</f>
        <v>0.49042692850092645</v>
      </c>
      <c r="F11">
        <f t="shared" ref="F11:AG11" si="4">F10/F9</f>
        <v>0.48811382359631361</v>
      </c>
      <c r="G11">
        <f t="shared" si="4"/>
        <v>0.48789705152068363</v>
      </c>
      <c r="H11">
        <f t="shared" si="4"/>
        <v>0.48444619508915304</v>
      </c>
      <c r="I11">
        <f t="shared" si="4"/>
        <v>0.47904180848829414</v>
      </c>
      <c r="J11">
        <f t="shared" si="4"/>
        <v>0.48144325100126345</v>
      </c>
      <c r="K11">
        <f t="shared" si="4"/>
        <v>0.47888107253361573</v>
      </c>
      <c r="L11">
        <f t="shared" si="4"/>
        <v>0.47400442237285678</v>
      </c>
      <c r="M11">
        <f t="shared" si="4"/>
        <v>0.48984913038403177</v>
      </c>
      <c r="N11">
        <f t="shared" si="4"/>
        <v>0.49348647756045649</v>
      </c>
      <c r="O11">
        <f t="shared" si="4"/>
        <v>0.49345610894798031</v>
      </c>
      <c r="P11">
        <f t="shared" si="4"/>
        <v>0.51284368247934009</v>
      </c>
      <c r="Q11">
        <f t="shared" si="4"/>
        <v>0.5136214458334577</v>
      </c>
      <c r="R11">
        <f t="shared" si="4"/>
        <v>0.51940407900739671</v>
      </c>
      <c r="S11">
        <f t="shared" si="4"/>
        <v>0.51518042135157716</v>
      </c>
      <c r="T11">
        <f t="shared" si="4"/>
        <v>0.51191798569255897</v>
      </c>
      <c r="U11">
        <f t="shared" si="4"/>
        <v>0.51761173206452427</v>
      </c>
      <c r="V11">
        <f t="shared" si="4"/>
        <v>0.51653894772494968</v>
      </c>
      <c r="W11">
        <f t="shared" si="4"/>
        <v>0.51568706150317489</v>
      </c>
      <c r="X11">
        <f t="shared" si="4"/>
        <v>0.51296151900467457</v>
      </c>
      <c r="Y11">
        <f t="shared" si="4"/>
        <v>0.52043207919678092</v>
      </c>
      <c r="Z11">
        <f t="shared" si="4"/>
        <v>0.52519930992027608</v>
      </c>
      <c r="AA11">
        <f t="shared" si="4"/>
        <v>0.53143047129766263</v>
      </c>
      <c r="AB11">
        <f t="shared" si="4"/>
        <v>0.53235192442833723</v>
      </c>
      <c r="AC11">
        <f t="shared" si="4"/>
        <v>0.53003848072722992</v>
      </c>
      <c r="AD11">
        <f t="shared" si="4"/>
        <v>0.52949781951708963</v>
      </c>
      <c r="AE11">
        <f t="shared" si="4"/>
        <v>0.52818926887324069</v>
      </c>
      <c r="AF11">
        <f t="shared" si="4"/>
        <v>0.54453011476527979</v>
      </c>
      <c r="AG11">
        <f t="shared" si="4"/>
        <v>0.55074338231634301</v>
      </c>
    </row>
    <row r="12" spans="1:60" x14ac:dyDescent="0.3">
      <c r="AG12" s="4">
        <f>LN(AG11/AG6)/(BH3-AG3)</f>
        <v>1.0243901298819823E-2</v>
      </c>
    </row>
    <row r="15" spans="1:60" x14ac:dyDescent="0.3">
      <c r="B15" t="s">
        <v>6</v>
      </c>
      <c r="C15">
        <v>2025</v>
      </c>
      <c r="D15">
        <f>C15+1</f>
        <v>2026</v>
      </c>
      <c r="E15">
        <f t="shared" ref="E15:AB15" si="5">D15+1</f>
        <v>2027</v>
      </c>
      <c r="F15">
        <f t="shared" si="5"/>
        <v>2028</v>
      </c>
      <c r="G15">
        <f t="shared" si="5"/>
        <v>2029</v>
      </c>
      <c r="H15">
        <f t="shared" si="5"/>
        <v>2030</v>
      </c>
      <c r="I15">
        <f t="shared" si="5"/>
        <v>2031</v>
      </c>
      <c r="J15">
        <f t="shared" si="5"/>
        <v>2032</v>
      </c>
      <c r="K15">
        <f t="shared" si="5"/>
        <v>2033</v>
      </c>
      <c r="L15">
        <f t="shared" si="5"/>
        <v>2034</v>
      </c>
      <c r="M15">
        <f t="shared" si="5"/>
        <v>2035</v>
      </c>
      <c r="N15">
        <f t="shared" si="5"/>
        <v>2036</v>
      </c>
      <c r="O15">
        <f t="shared" si="5"/>
        <v>2037</v>
      </c>
      <c r="P15">
        <f t="shared" si="5"/>
        <v>2038</v>
      </c>
      <c r="Q15">
        <f t="shared" si="5"/>
        <v>2039</v>
      </c>
      <c r="R15">
        <f t="shared" si="5"/>
        <v>2040</v>
      </c>
      <c r="S15">
        <f t="shared" si="5"/>
        <v>2041</v>
      </c>
      <c r="T15">
        <f t="shared" si="5"/>
        <v>2042</v>
      </c>
      <c r="U15">
        <f t="shared" si="5"/>
        <v>2043</v>
      </c>
      <c r="V15">
        <f t="shared" si="5"/>
        <v>2044</v>
      </c>
      <c r="W15">
        <f t="shared" si="5"/>
        <v>2045</v>
      </c>
      <c r="X15">
        <f t="shared" si="5"/>
        <v>2046</v>
      </c>
      <c r="Y15">
        <f t="shared" si="5"/>
        <v>2047</v>
      </c>
      <c r="Z15">
        <f t="shared" si="5"/>
        <v>2048</v>
      </c>
      <c r="AA15">
        <f t="shared" si="5"/>
        <v>2049</v>
      </c>
      <c r="AB15">
        <f t="shared" si="5"/>
        <v>2050</v>
      </c>
      <c r="AG15"/>
      <c r="AI15"/>
    </row>
    <row r="16" spans="1:60" x14ac:dyDescent="0.3">
      <c r="B16" t="s">
        <v>21</v>
      </c>
      <c r="C16" s="7">
        <f>AI5</f>
        <v>12133835.496665571</v>
      </c>
      <c r="D16" s="7">
        <f t="shared" ref="D16:AB16" si="6">AJ5</f>
        <v>12569279.401418112</v>
      </c>
      <c r="E16" s="7">
        <f t="shared" si="6"/>
        <v>13015762.884583034</v>
      </c>
      <c r="F16" s="7">
        <f t="shared" si="6"/>
        <v>13473517.889542356</v>
      </c>
      <c r="G16" s="7">
        <f t="shared" si="6"/>
        <v>13943030.121461902</v>
      </c>
      <c r="H16" s="7">
        <f t="shared" si="6"/>
        <v>14423646.497433191</v>
      </c>
      <c r="I16" s="7">
        <f t="shared" si="6"/>
        <v>14915216.347271672</v>
      </c>
      <c r="J16" s="7">
        <f t="shared" si="6"/>
        <v>15418512.816772569</v>
      </c>
      <c r="K16" s="7">
        <f t="shared" si="6"/>
        <v>15934983.655044934</v>
      </c>
      <c r="L16" s="7">
        <f t="shared" si="6"/>
        <v>16464545.593897881</v>
      </c>
      <c r="M16" s="7">
        <f t="shared" si="6"/>
        <v>17005941.472338025</v>
      </c>
      <c r="N16" s="7">
        <f t="shared" si="6"/>
        <v>17559921.374271806</v>
      </c>
      <c r="O16" s="7">
        <f t="shared" si="6"/>
        <v>18127431.536514591</v>
      </c>
      <c r="P16" s="7">
        <f t="shared" si="6"/>
        <v>18708122.624265816</v>
      </c>
      <c r="Q16" s="7">
        <f t="shared" si="6"/>
        <v>19301816.373599809</v>
      </c>
      <c r="R16" s="7">
        <f t="shared" si="6"/>
        <v>19908773.930441245</v>
      </c>
      <c r="S16" s="7">
        <f t="shared" si="6"/>
        <v>20528270.361763608</v>
      </c>
      <c r="T16" s="7">
        <f t="shared" si="6"/>
        <v>21159460.998112205</v>
      </c>
      <c r="U16" s="7">
        <f t="shared" si="6"/>
        <v>21803213.619425412</v>
      </c>
      <c r="V16" s="7">
        <f t="shared" si="6"/>
        <v>22459782.406514496</v>
      </c>
      <c r="W16" s="7">
        <f t="shared" si="6"/>
        <v>23129016.076723881</v>
      </c>
      <c r="X16" s="7">
        <f t="shared" si="6"/>
        <v>23811683.224408705</v>
      </c>
      <c r="Y16" s="7">
        <f t="shared" si="6"/>
        <v>24506035.645099498</v>
      </c>
      <c r="Z16" s="7">
        <f t="shared" si="6"/>
        <v>25211951.570463032</v>
      </c>
      <c r="AA16" s="7">
        <f t="shared" si="6"/>
        <v>25930944.176297184</v>
      </c>
      <c r="AB16" s="7">
        <f t="shared" si="6"/>
        <v>26660333.132280596</v>
      </c>
    </row>
    <row r="18" spans="1:3" x14ac:dyDescent="0.3">
      <c r="C18">
        <f>1-0.028*2</f>
        <v>0.94399999999999995</v>
      </c>
    </row>
    <row r="21" spans="1:3" x14ac:dyDescent="0.3">
      <c r="A21">
        <v>2014</v>
      </c>
      <c r="B21">
        <f>1-0.61</f>
        <v>0.39</v>
      </c>
    </row>
    <row r="22" spans="1:3" x14ac:dyDescent="0.3">
      <c r="A22">
        <v>2021</v>
      </c>
      <c r="B22">
        <v>0.441</v>
      </c>
    </row>
    <row r="23" spans="1:3" x14ac:dyDescent="0.3">
      <c r="B23">
        <f>LN(B22/B21)</f>
        <v>0.12289813632315387</v>
      </c>
    </row>
    <row r="24" spans="1:3" x14ac:dyDescent="0.3">
      <c r="B24">
        <f>B23/7</f>
        <v>1.7556876617593409E-2</v>
      </c>
    </row>
    <row r="26" spans="1:3" x14ac:dyDescent="0.3">
      <c r="B26">
        <f>B22*EXP(B24*19)</f>
        <v>0.61561731658916363</v>
      </c>
    </row>
    <row r="30" spans="1:3" x14ac:dyDescent="0.3">
      <c r="B30">
        <v>0.44</v>
      </c>
      <c r="C30">
        <v>0.16</v>
      </c>
    </row>
    <row r="31" spans="1:3" x14ac:dyDescent="0.3">
      <c r="C31">
        <f>C30/B30</f>
        <v>0.36363636363636365</v>
      </c>
    </row>
    <row r="33" spans="1:5" x14ac:dyDescent="0.3">
      <c r="B33">
        <v>0.9</v>
      </c>
      <c r="C33">
        <v>0.16</v>
      </c>
    </row>
    <row r="34" spans="1:5" x14ac:dyDescent="0.3">
      <c r="C34">
        <f>B33*C31</f>
        <v>0.32727272727272727</v>
      </c>
    </row>
    <row r="37" spans="1:5" x14ac:dyDescent="0.3">
      <c r="A37">
        <f>LN(A39/C38)</f>
        <v>0.21033459302162863</v>
      </c>
      <c r="B37">
        <v>2014</v>
      </c>
      <c r="C37">
        <v>0.39400000000000002</v>
      </c>
    </row>
    <row r="38" spans="1:5" x14ac:dyDescent="0.3">
      <c r="A38">
        <f>A37/(B39-B38)</f>
        <v>1.1070241737980454E-2</v>
      </c>
      <c r="B38">
        <v>2021</v>
      </c>
      <c r="C38">
        <v>0.44</v>
      </c>
    </row>
    <row r="39" spans="1:5" x14ac:dyDescent="0.3">
      <c r="A39">
        <v>0.54300000000000004</v>
      </c>
      <c r="B39">
        <v>2040</v>
      </c>
      <c r="C39">
        <v>0.75</v>
      </c>
      <c r="D39">
        <f>LN(C39/C38)</f>
        <v>0.53329847961804933</v>
      </c>
      <c r="E39" s="4">
        <f>D39/(B39-B38)</f>
        <v>2.806834103252891E-2</v>
      </c>
    </row>
    <row r="40" spans="1:5" x14ac:dyDescent="0.3">
      <c r="A40">
        <f>A39*EXP(10*A38)</f>
        <v>0.60656490438843647</v>
      </c>
      <c r="B40">
        <v>2050</v>
      </c>
      <c r="C40">
        <f>C39*EXP(10*E39)</f>
        <v>0.99302577147521887</v>
      </c>
    </row>
    <row r="41" spans="1:5" x14ac:dyDescent="0.3">
      <c r="E41" s="4">
        <v>2.8000000000000001E-2</v>
      </c>
    </row>
    <row r="42" spans="1:5" x14ac:dyDescent="0.3">
      <c r="E42" s="4">
        <f>E41*2</f>
        <v>5.6000000000000001E-2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NEW</vt:lpstr>
      <vt:lpstr>OLD</vt:lpstr>
      <vt:lpstr>MAIN MODEL</vt:lpstr>
      <vt:lpstr>Figures OUTPUT</vt:lpstr>
      <vt:lpstr>ENERGY</vt:lpstr>
      <vt:lpstr>assumptions</vt:lpstr>
      <vt:lpstr>OUTPUT</vt:lpstr>
      <vt:lpstr>LABOR</vt:lpstr>
      <vt:lpstr>TRANSITION</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Golub</dc:creator>
  <cp:lastModifiedBy>Brumme</cp:lastModifiedBy>
  <dcterms:created xsi:type="dcterms:W3CDTF">2025-01-22T18:15:16Z</dcterms:created>
  <dcterms:modified xsi:type="dcterms:W3CDTF">2026-07-14T05:55:02Z</dcterms:modified>
</cp:coreProperties>
</file>